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/>
  <mc:AlternateContent xmlns:mc="http://schemas.openxmlformats.org/markup-compatibility/2006">
    <mc:Choice Requires="x15">
      <x15ac:absPath xmlns:x15ac="http://schemas.microsoft.com/office/spreadsheetml/2010/11/ac" url="/Users/fowlie/Library/CloudStorage/Dropbox/IEMAC/"/>
    </mc:Choice>
  </mc:AlternateContent>
  <xr:revisionPtr revIDLastSave="0" documentId="8_{AACA83D6-355B-F744-B59E-20773CAEB425}" xr6:coauthVersionLast="47" xr6:coauthVersionMax="47" xr10:uidLastSave="{00000000-0000-0000-0000-000000000000}"/>
  <bookViews>
    <workbookView xWindow="0" yWindow="740" windowWidth="30240" windowHeight="18900" activeTab="1" xr2:uid="{00000000-000D-0000-FFFF-FFFF00000000}"/>
  </bookViews>
  <sheets>
    <sheet name="retail price decomposition" sheetId="1" r:id="rId1"/>
    <sheet name="summary table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my9wx+1aoZnyO4dGDhHYr42WHQBhH12gv9eCT9+HYX8="/>
    </ext>
  </extLst>
</workbook>
</file>

<file path=xl/calcChain.xml><?xml version="1.0" encoding="utf-8"?>
<calcChain xmlns="http://schemas.openxmlformats.org/spreadsheetml/2006/main">
  <c r="AB49" i="5" l="1"/>
  <c r="AC49" i="5"/>
  <c r="S57" i="5"/>
  <c r="L57" i="5"/>
  <c r="Y29" i="5"/>
  <c r="E41" i="5"/>
  <c r="E40" i="5"/>
  <c r="Y9" i="5"/>
  <c r="E39" i="5"/>
  <c r="E56" i="5"/>
  <c r="E57" i="5" s="1"/>
  <c r="E60" i="5" s="1"/>
  <c r="AA49" i="5"/>
  <c r="Z49" i="5"/>
  <c r="X49" i="5"/>
  <c r="E35" i="5"/>
  <c r="E36" i="5" s="1"/>
  <c r="S34" i="5"/>
  <c r="S35" i="5" s="1"/>
  <c r="S36" i="5" s="1"/>
  <c r="AC29" i="5" s="1"/>
  <c r="L34" i="5"/>
  <c r="L35" i="5" s="1"/>
  <c r="L36" i="5" s="1"/>
  <c r="AB29" i="5" s="1"/>
  <c r="Z29" i="5"/>
  <c r="S29" i="5"/>
  <c r="L29" i="5"/>
  <c r="E29" i="5"/>
  <c r="E20" i="5"/>
  <c r="E22" i="5" s="1"/>
  <c r="E19" i="5"/>
  <c r="L13" i="5"/>
  <c r="L11" i="5"/>
  <c r="E11" i="5"/>
  <c r="E14" i="5" s="1"/>
  <c r="S10" i="5"/>
  <c r="S11" i="5" s="1"/>
  <c r="S14" i="5" s="1"/>
  <c r="AC6" i="5" s="1"/>
  <c r="AC9" i="5" s="1"/>
  <c r="Z6" i="5"/>
  <c r="F58" i="1"/>
  <c r="P49" i="1" s="1"/>
  <c r="F52" i="1"/>
  <c r="Q49" i="1" s="1"/>
  <c r="T50" i="1"/>
  <c r="P50" i="1"/>
  <c r="F42" i="1"/>
  <c r="F41" i="1"/>
  <c r="S32" i="1" s="1"/>
  <c r="F37" i="1"/>
  <c r="F38" i="1" s="1"/>
  <c r="F35" i="1"/>
  <c r="F30" i="1"/>
  <c r="O32" i="1" s="1"/>
  <c r="F20" i="1"/>
  <c r="F21" i="1" s="1"/>
  <c r="S13" i="1"/>
  <c r="O13" i="1"/>
  <c r="O12" i="1"/>
  <c r="F12" i="1"/>
  <c r="F15" i="1" s="1"/>
  <c r="P12" i="1" s="1"/>
  <c r="F43" i="1" l="1"/>
  <c r="L14" i="5"/>
  <c r="P13" i="1"/>
  <c r="F44" i="1"/>
  <c r="R32" i="1"/>
  <c r="T32" i="1" s="1"/>
  <c r="AB6" i="5"/>
  <c r="AB9" i="5" s="1"/>
  <c r="X9" i="5"/>
  <c r="AA6" i="5"/>
  <c r="Y6" i="5"/>
  <c r="X6" i="5"/>
  <c r="F23" i="1"/>
  <c r="R13" i="1"/>
  <c r="U12" i="1"/>
  <c r="P16" i="1" s="1"/>
  <c r="P31" i="1"/>
  <c r="P32" i="1"/>
  <c r="AA29" i="5"/>
  <c r="F59" i="1"/>
  <c r="O31" i="1"/>
  <c r="O49" i="1"/>
  <c r="Q12" i="1"/>
  <c r="F32" i="1"/>
  <c r="E30" i="5" s="1"/>
  <c r="S30" i="5" l="1"/>
  <c r="L30" i="5"/>
  <c r="X29" i="5"/>
  <c r="Q31" i="1"/>
  <c r="T31" i="1" s="1"/>
  <c r="P35" i="1" s="1"/>
  <c r="U49" i="1"/>
  <c r="O50" i="1"/>
  <c r="AA9" i="5"/>
  <c r="Z9" i="5" s="1"/>
  <c r="F62" i="1"/>
  <c r="R50" i="1"/>
  <c r="U13" i="1"/>
  <c r="U50" i="1" l="1"/>
  <c r="Y49" i="5" s="1"/>
  <c r="T53" i="1"/>
  <c r="P53" i="1"/>
</calcChain>
</file>

<file path=xl/sharedStrings.xml><?xml version="1.0" encoding="utf-8"?>
<sst xmlns="http://schemas.openxmlformats.org/spreadsheetml/2006/main" count="333" uniqueCount="117">
  <si>
    <t>Calculations to estimate retail price impacts of carbon pricing</t>
  </si>
  <si>
    <t>Note:</t>
  </si>
  <si>
    <t>All tons are metric tons</t>
  </si>
  <si>
    <t>Social cost of carbon ($/ton)</t>
  </si>
  <si>
    <t>California carbon price (2023 average $/ton)</t>
  </si>
  <si>
    <t>Electricity</t>
  </si>
  <si>
    <t>(PG&amp;E 2023)</t>
  </si>
  <si>
    <t>SOURCE</t>
  </si>
  <si>
    <t>Residential retail price</t>
  </si>
  <si>
    <t>($/kWh)</t>
  </si>
  <si>
    <t>EIA-861 data for PG&amp;E</t>
  </si>
  <si>
    <t xml:space="preserve">Private marginal cost </t>
  </si>
  <si>
    <r>
      <rPr>
        <sz val="12"/>
        <rFont val="Arial"/>
        <family val="2"/>
      </rPr>
      <t xml:space="preserve"> Average of hourly day-ahead prices from </t>
    </r>
    <r>
      <rPr>
        <u/>
        <sz val="12"/>
        <color rgb="FF1155CC"/>
        <rFont val="Arial"/>
        <family val="2"/>
      </rPr>
      <t xml:space="preserve">S&amp;P Global </t>
    </r>
    <r>
      <rPr>
        <sz val="12"/>
        <rFont val="Arial"/>
        <family val="2"/>
      </rPr>
      <t>at pricing nodes located within the utility's service territory</t>
    </r>
  </si>
  <si>
    <t>GHG intensity (generation source)</t>
  </si>
  <si>
    <t>ton CO2e/MWh</t>
  </si>
  <si>
    <t>Borenstein, S., &amp; Bushnell, J. B. (2022). Headwinds and tailwinds: Implications of inefficient retail energy pricing for energy substitution. Environmental and energy policy and the economy, 3(1), 37-70.</t>
  </si>
  <si>
    <t>Data used to generate electricity figure</t>
  </si>
  <si>
    <t>System losses</t>
  </si>
  <si>
    <t>loss factor</t>
  </si>
  <si>
    <t>EIA California State Energy Profile, 2023</t>
  </si>
  <si>
    <t>Marginal private cost</t>
  </si>
  <si>
    <t>GHG compliance cost</t>
  </si>
  <si>
    <t>Non-incremental cost recovery</t>
  </si>
  <si>
    <t>External GHG cost</t>
  </si>
  <si>
    <t>Local pollution costs</t>
  </si>
  <si>
    <t xml:space="preserve">GHG intensity </t>
  </si>
  <si>
    <t>Electricity price ($/kWh)</t>
  </si>
  <si>
    <t>Social marginal cost</t>
  </si>
  <si>
    <t>California carbon price</t>
  </si>
  <si>
    <t>$/ton</t>
  </si>
  <si>
    <t>Average of 2023 carbon permit auction prices, California ARB</t>
  </si>
  <si>
    <t>Cap and trade compliance cost</t>
  </si>
  <si>
    <t>rate increase due to CAT</t>
  </si>
  <si>
    <t>Emissions calcuations</t>
  </si>
  <si>
    <t>Average of md_NOX_mWh</t>
  </si>
  <si>
    <t>Average of md_SOX_mWh</t>
  </si>
  <si>
    <t>Social cost of CO2e</t>
  </si>
  <si>
    <r>
      <rPr>
        <sz val="12"/>
        <color rgb="FF000000"/>
        <rFont val="Arial"/>
        <family val="2"/>
      </rPr>
      <t xml:space="preserve">This ignores upstream GHG emissions. </t>
    </r>
    <r>
      <rPr>
        <u/>
        <sz val="12"/>
        <color rgb="FF1155CC"/>
        <rFont val="Arial"/>
        <family val="2"/>
      </rPr>
      <t>Environmental Protection Agency. (2023). Report on the social cost of greenhouse gases: Estimates incorporating recent scientific advances.</t>
    </r>
  </si>
  <si>
    <t>External social cost of carbon</t>
  </si>
  <si>
    <t>External marginal cost</t>
  </si>
  <si>
    <t>Natural Gas</t>
  </si>
  <si>
    <t>(PG&amp;E)</t>
  </si>
  <si>
    <t>PMC</t>
  </si>
  <si>
    <t>Residential rate</t>
  </si>
  <si>
    <t>$/therm</t>
  </si>
  <si>
    <t>EIA-176 data for PG&amp;E, 2023</t>
  </si>
  <si>
    <t xml:space="preserve">Citygate </t>
  </si>
  <si>
    <t>$/mmbtu</t>
  </si>
  <si>
    <r>
      <rPr>
        <sz val="12"/>
        <color rgb="FF000000"/>
        <rFont val="Arial"/>
        <family val="2"/>
      </rPr>
      <t xml:space="preserve">Average of 2023 day-ahead prices from </t>
    </r>
    <r>
      <rPr>
        <u/>
        <sz val="12"/>
        <color rgb="FF1155CC"/>
        <rFont val="Arial"/>
        <family val="2"/>
      </rPr>
      <t>S&amp;P Global</t>
    </r>
  </si>
  <si>
    <t>therm conversion factor</t>
  </si>
  <si>
    <t>Local pollution cost</t>
  </si>
  <si>
    <t>System-wide gas leak rate rate (includes LAUF)</t>
  </si>
  <si>
    <t>CPUC, 2024</t>
  </si>
  <si>
    <t>Natural gas price ($/therm)</t>
  </si>
  <si>
    <t>LAUF adjustment</t>
  </si>
  <si>
    <t>Social marginal cost($/therm)</t>
  </si>
  <si>
    <t>GHG intensity (combustion only)</t>
  </si>
  <si>
    <t>EPA Greenhouse Gas Equivalency Calculator</t>
  </si>
  <si>
    <t>GHG intensity (total)</t>
  </si>
  <si>
    <t>GHG/mmbtu</t>
  </si>
  <si>
    <r>
      <rPr>
        <u/>
        <sz val="12"/>
        <color rgb="FF1155CC"/>
        <rFont val="Arial"/>
        <family val="2"/>
      </rPr>
      <t xml:space="preserve">CPUC, 2024 </t>
    </r>
    <r>
      <rPr>
        <sz val="12"/>
        <color rgb="FF000000"/>
        <rFont val="Arial"/>
        <family val="2"/>
      </rPr>
      <t xml:space="preserve">+
</t>
    </r>
    <r>
      <rPr>
        <u/>
        <sz val="12"/>
        <color rgb="FF1155CC"/>
        <rFont val="Arial"/>
        <family val="2"/>
      </rPr>
      <t xml:space="preserve">Hausman, C., &amp; Muehlenbachs, L. (2019). Price regulation and environmental externalities: Evidence from methane leaks. Journal of the Association of Environmental and Resource Economists, 6(1), 73-109. </t>
    </r>
    <r>
      <rPr>
        <sz val="12"/>
        <color rgb="FF000000"/>
        <rFont val="Arial"/>
        <family val="2"/>
      </rPr>
      <t xml:space="preserve">+
</t>
    </r>
    <r>
      <rPr>
        <u/>
        <sz val="12"/>
        <color rgb="FF1155CC"/>
        <rFont val="Arial"/>
        <family val="2"/>
      </rPr>
      <t>EIA estimated rate of natural gas vented or flared</t>
    </r>
  </si>
  <si>
    <t>Compliance cost</t>
  </si>
  <si>
    <t>e x g</t>
  </si>
  <si>
    <t xml:space="preserve">Compliance </t>
  </si>
  <si>
    <t>c x h</t>
  </si>
  <si>
    <t>EMC</t>
  </si>
  <si>
    <t>Average of md_nonGHG</t>
  </si>
  <si>
    <t>SCC</t>
  </si>
  <si>
    <t>Environmental Protection Agency. (2023). Report on the social cost of greenhouse gases: Estimates incorporating recent scientific advances.</t>
  </si>
  <si>
    <t>External SCC</t>
  </si>
  <si>
    <t>Gasoline</t>
  </si>
  <si>
    <t>Retail price</t>
  </si>
  <si>
    <t>$/gallon</t>
  </si>
  <si>
    <t>Average weekly regular gasoline price for San Francisco, 2023, EIA</t>
  </si>
  <si>
    <t>Marginal private cost (include LCFS)</t>
  </si>
  <si>
    <t>External pollution cost</t>
  </si>
  <si>
    <t>Local pollution</t>
  </si>
  <si>
    <t>2023 Rack Price</t>
  </si>
  <si>
    <r>
      <rPr>
        <sz val="12"/>
        <color rgb="FF000000"/>
        <rFont val="Arial"/>
        <family val="2"/>
      </rPr>
      <t xml:space="preserve">Average weekly San Francisco rack price, 2023, </t>
    </r>
    <r>
      <rPr>
        <u/>
        <sz val="12"/>
        <color rgb="FF1155CC"/>
        <rFont val="Arial"/>
        <family val="2"/>
      </rPr>
      <t>Byrne et al 2023</t>
    </r>
  </si>
  <si>
    <t>Gasoline price ($/gallon)</t>
  </si>
  <si>
    <t>Gasoline price</t>
  </si>
  <si>
    <t>Delivery/marginal labor (2023$)</t>
  </si>
  <si>
    <t>Social marginal cost ($/gallon)</t>
  </si>
  <si>
    <t>SMC</t>
  </si>
  <si>
    <t>2023 credit card fee</t>
  </si>
  <si>
    <r>
      <rPr>
        <sz val="12"/>
        <color rgb="FF000000"/>
        <rFont val="Arial"/>
        <family val="2"/>
      </rPr>
      <t xml:space="preserve">Assumed to be 2.5%, as in </t>
    </r>
    <r>
      <rPr>
        <u/>
        <sz val="12"/>
        <color rgb="FF1155CC"/>
        <rFont val="Arial"/>
        <family val="2"/>
      </rPr>
      <t>Borenstein, S., &amp; Bushnell, J. B. (2022). Headwinds and tailwinds: Implications of inefficient retail energy pricing for energy substitution. Environmental and energy policy and the economy, 3(1), 37-70.</t>
    </r>
  </si>
  <si>
    <t>2023 gasoline PMC</t>
  </si>
  <si>
    <t>LCFS cost</t>
  </si>
  <si>
    <t>CEC calculations on Stillwater data</t>
  </si>
  <si>
    <t>Carbon intensity E10 (combustion)</t>
  </si>
  <si>
    <r>
      <rPr>
        <sz val="12"/>
        <color rgb="FF000000"/>
        <rFont val="Arial"/>
        <family val="2"/>
      </rPr>
      <t>Emissions intensity of E0 gasoline times 90% (</t>
    </r>
    <r>
      <rPr>
        <u/>
        <sz val="12"/>
        <color rgb="FF1155CC"/>
        <rFont val="Arial"/>
        <family val="2"/>
      </rPr>
      <t>EPA Greenhouse Gas Eqiuvalency Calculator</t>
    </r>
    <r>
      <rPr>
        <sz val="12"/>
        <color rgb="FF000000"/>
        <rFont val="Arial"/>
        <family val="2"/>
      </rPr>
      <t>)</t>
    </r>
  </si>
  <si>
    <t>Carbon intensity E10 (include upstream)</t>
  </si>
  <si>
    <r>
      <rPr>
        <sz val="12"/>
        <color rgb="FF000000"/>
        <rFont val="Arial"/>
        <family val="2"/>
      </rPr>
      <t>Emissions intensity of E0 gasoline times 90% (</t>
    </r>
    <r>
      <rPr>
        <u/>
        <sz val="12"/>
        <color rgb="FF1155CC"/>
        <rFont val="Arial"/>
        <family val="2"/>
      </rPr>
      <t>EPA Greenhouse Gas Eqiuvalency Calculator</t>
    </r>
    <r>
      <rPr>
        <sz val="12"/>
        <color rgb="FF000000"/>
        <rFont val="Arial"/>
        <family val="2"/>
      </rPr>
      <t>), plus emissions from ethanol and upstream scaling factor of 1.25 (</t>
    </r>
    <r>
      <rPr>
        <u/>
        <sz val="12"/>
        <color rgb="FF1155CC"/>
        <rFont val="Arial"/>
        <family val="2"/>
      </rPr>
      <t>EPA, 2024)</t>
    </r>
  </si>
  <si>
    <t>External SMC</t>
  </si>
  <si>
    <t>These numbers and formulas support calculations reported in Chapter 1 of the 2024 IEMAC draft report</t>
  </si>
  <si>
    <t xml:space="preserve">LOW PRICE </t>
  </si>
  <si>
    <t>HIGH PRICE</t>
  </si>
  <si>
    <t>Summary Table</t>
  </si>
  <si>
    <t>CAT Compliance</t>
  </si>
  <si>
    <t>2023 MPC</t>
  </si>
  <si>
    <t xml:space="preserve">2023 SMC </t>
  </si>
  <si>
    <t xml:space="preserve">Retail </t>
  </si>
  <si>
    <t>price impact</t>
  </si>
  <si>
    <t>Cost low</t>
  </si>
  <si>
    <t>Cost high</t>
  </si>
  <si>
    <t>Grid today</t>
  </si>
  <si>
    <t>GHG intensity</t>
  </si>
  <si>
    <t>50% reduction in GHG intens</t>
  </si>
  <si>
    <t>Losses</t>
  </si>
  <si>
    <t>CO2</t>
  </si>
  <si>
    <t>PG&amp;E)</t>
  </si>
  <si>
    <t>($/themr)</t>
  </si>
  <si>
    <t>Natural gas</t>
  </si>
  <si>
    <t>(summarized graphically in Chapter 1 of the 2024  IEMAC report)</t>
  </si>
  <si>
    <t>Data used to generate natural gas summary figure</t>
  </si>
  <si>
    <t>Data used to generate gasoline summary figure</t>
  </si>
  <si>
    <t>external SCC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</si>
</sst>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"/>
    <numFmt numFmtId="166" formatCode="0.000"/>
  </numFmts>
  <fonts count="24">
    <font>
      <sz val="12"/>
      <color theme="1"/>
      <name val="Aptos Narrow"/>
      <scheme val="minor"/>
    </font>
    <font>
      <b/>
      <sz val="12"/>
      <color theme="1"/>
      <name val="Arial"/>
      <family val="2"/>
    </font>
    <font>
      <sz val="12"/>
      <color theme="1"/>
      <name val="Aptos Narrow"/>
      <scheme val="minor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ptos Narrow"/>
    </font>
    <font>
      <sz val="12"/>
      <color theme="1"/>
      <name val="Aptos Narrow"/>
    </font>
    <font>
      <sz val="12"/>
      <color theme="1"/>
      <name val="Arial"/>
      <family val="2"/>
    </font>
    <font>
      <u/>
      <sz val="12"/>
      <color rgb="FF467886"/>
      <name val="Arial"/>
      <family val="2"/>
    </font>
    <font>
      <u/>
      <sz val="12"/>
      <color rgb="FF0000FF"/>
      <name val="Arial"/>
      <family val="2"/>
    </font>
    <font>
      <i/>
      <u/>
      <sz val="12"/>
      <color rgb="FF0000FF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ptos Narrow"/>
      <scheme val="minor"/>
    </font>
    <font>
      <sz val="12"/>
      <color rgb="FFFF0000"/>
      <name val="Aptos Narrow"/>
    </font>
    <font>
      <sz val="12"/>
      <color rgb="FF000000"/>
      <name val="Aptos Narrow"/>
      <scheme val="minor"/>
    </font>
    <font>
      <u/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1"/>
      <name val="&quot;Aptos Narrow&quot;"/>
    </font>
    <font>
      <sz val="12"/>
      <color rgb="FFFF0000"/>
      <name val="Aptos Narrow"/>
      <scheme val="minor"/>
    </font>
    <font>
      <sz val="12"/>
      <color rgb="FF222222"/>
      <name val="Arial"/>
      <family val="2"/>
    </font>
    <font>
      <sz val="12"/>
      <name val="Arial"/>
      <family val="2"/>
    </font>
    <font>
      <u/>
      <sz val="12"/>
      <color rgb="FF1155CC"/>
      <name val="Arial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  <fill>
      <patternFill patternType="solid">
        <fgColor rgb="FFD9EAD3"/>
        <bgColor rgb="FFD9EAD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" fillId="2" borderId="0" xfId="0" applyFont="1" applyFill="1"/>
    <xf numFmtId="0" fontId="2" fillId="2" borderId="0" xfId="0" applyFont="1" applyFill="1"/>
    <xf numFmtId="0" fontId="11" fillId="0" borderId="0" xfId="0" applyFont="1"/>
    <xf numFmtId="10" fontId="12" fillId="0" borderId="0" xfId="0" applyNumberFormat="1" applyFont="1" applyAlignment="1">
      <alignment horizontal="right"/>
    </xf>
    <xf numFmtId="0" fontId="13" fillId="2" borderId="0" xfId="0" applyFont="1" applyFill="1"/>
    <xf numFmtId="0" fontId="14" fillId="0" borderId="0" xfId="0" applyFont="1"/>
    <xf numFmtId="2" fontId="2" fillId="2" borderId="0" xfId="0" applyNumberFormat="1" applyFont="1" applyFill="1"/>
    <xf numFmtId="2" fontId="2" fillId="0" borderId="0" xfId="0" applyNumberFormat="1" applyFont="1"/>
    <xf numFmtId="0" fontId="15" fillId="0" borderId="0" xfId="0" applyFont="1"/>
    <xf numFmtId="0" fontId="16" fillId="0" borderId="0" xfId="0" applyFont="1"/>
    <xf numFmtId="164" fontId="2" fillId="0" borderId="0" xfId="0" applyNumberFormat="1" applyFont="1"/>
    <xf numFmtId="0" fontId="17" fillId="0" borderId="0" xfId="0" applyFont="1"/>
    <xf numFmtId="0" fontId="13" fillId="0" borderId="0" xfId="0" applyFont="1"/>
    <xf numFmtId="0" fontId="2" fillId="3" borderId="0" xfId="0" applyFont="1" applyFill="1"/>
    <xf numFmtId="0" fontId="13" fillId="3" borderId="0" xfId="0" applyFont="1" applyFill="1"/>
    <xf numFmtId="10" fontId="18" fillId="0" borderId="0" xfId="0" applyNumberFormat="1" applyFont="1" applyAlignment="1">
      <alignment horizontal="right"/>
    </xf>
    <xf numFmtId="0" fontId="3" fillId="3" borderId="0" xfId="0" applyFont="1" applyFill="1"/>
    <xf numFmtId="2" fontId="2" fillId="3" borderId="0" xfId="0" applyNumberFormat="1" applyFont="1" applyFill="1"/>
    <xf numFmtId="164" fontId="15" fillId="0" borderId="0" xfId="0" applyNumberFormat="1" applyFont="1"/>
    <xf numFmtId="165" fontId="11" fillId="0" borderId="0" xfId="0" applyNumberFormat="1" applyFont="1"/>
    <xf numFmtId="166" fontId="15" fillId="0" borderId="0" xfId="0" applyNumberFormat="1" applyFont="1"/>
    <xf numFmtId="0" fontId="19" fillId="0" borderId="0" xfId="0" applyFont="1"/>
    <xf numFmtId="166" fontId="2" fillId="0" borderId="0" xfId="0" applyNumberFormat="1" applyFont="1"/>
    <xf numFmtId="0" fontId="3" fillId="2" borderId="0" xfId="0" applyFont="1" applyFill="1"/>
    <xf numFmtId="0" fontId="20" fillId="0" borderId="0" xfId="0" applyFont="1"/>
    <xf numFmtId="0" fontId="23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pa.gov/system/files/documents/2023-12/epa_scghg_2023_report_final.pdf" TargetMode="External"/><Relationship Id="rId13" Type="http://schemas.openxmlformats.org/officeDocument/2006/relationships/hyperlink" Target="https://www.cpuc.ca.gov/-/media/cpuc-website/divisions/safety-policy-division/reports/2023-ngla-joint-report.pdf" TargetMode="External"/><Relationship Id="rId18" Type="http://schemas.openxmlformats.org/officeDocument/2006/relationships/hyperlink" Target="https://papers.ssrn.com/sol3/papers.cfm?abstract_id=4513435" TargetMode="External"/><Relationship Id="rId3" Type="http://schemas.openxmlformats.org/officeDocument/2006/relationships/hyperlink" Target="https://www.journals.uchicago.edu/doi/pdf/10.1086/717218" TargetMode="External"/><Relationship Id="rId21" Type="http://schemas.openxmlformats.org/officeDocument/2006/relationships/hyperlink" Target="https://www.epa.gov/energy/greenhouse-gas-equivalencies-calculator-calculations-and-references" TargetMode="External"/><Relationship Id="rId7" Type="http://schemas.openxmlformats.org/officeDocument/2006/relationships/hyperlink" Target="https://www.journals.uchicago.edu/doi/pdf/10.1086/717218" TargetMode="External"/><Relationship Id="rId12" Type="http://schemas.openxmlformats.org/officeDocument/2006/relationships/hyperlink" Target="https://www.epa.gov/energy/greenhouse-gas-equivalencies-calculator-calculations-and-references" TargetMode="External"/><Relationship Id="rId17" Type="http://schemas.openxmlformats.org/officeDocument/2006/relationships/hyperlink" Target="https://www.eia.gov/dnav/pet/pet_pri_gnd_a_epmr_pte_dpgal_a.htm" TargetMode="External"/><Relationship Id="rId2" Type="http://schemas.openxmlformats.org/officeDocument/2006/relationships/hyperlink" Target="https://www.spglobal.com/en/products/data-analytics" TargetMode="External"/><Relationship Id="rId16" Type="http://schemas.openxmlformats.org/officeDocument/2006/relationships/hyperlink" Target="https://www.epa.gov/system/files/documents/2023-12/epa_scghg_2023_report_final.pdf" TargetMode="External"/><Relationship Id="rId20" Type="http://schemas.openxmlformats.org/officeDocument/2006/relationships/hyperlink" Target="https://www.journals.uchicago.edu/doi/pdf/10.1086/717218" TargetMode="External"/><Relationship Id="rId1" Type="http://schemas.openxmlformats.org/officeDocument/2006/relationships/hyperlink" Target="https://www.eia.gov/electricity/data/eia861/" TargetMode="External"/><Relationship Id="rId6" Type="http://schemas.openxmlformats.org/officeDocument/2006/relationships/hyperlink" Target="https://www.journals.uchicago.edu/doi/pdf/10.1086/717218" TargetMode="External"/><Relationship Id="rId11" Type="http://schemas.openxmlformats.org/officeDocument/2006/relationships/hyperlink" Target="https://www.cpuc.ca.gov/-/media/cpuc-website/divisions/safety-policy-division/reports/2023-ngla-joint-report.pdf" TargetMode="External"/><Relationship Id="rId5" Type="http://schemas.openxmlformats.org/officeDocument/2006/relationships/hyperlink" Target="https://ww2.arb.ca.gov/sites/default/files/2020-08/results_summary.pdf" TargetMode="External"/><Relationship Id="rId15" Type="http://schemas.openxmlformats.org/officeDocument/2006/relationships/hyperlink" Target="https://www.journals.uchicago.edu/doi/pdf/10.1086/717218" TargetMode="External"/><Relationship Id="rId23" Type="http://schemas.openxmlformats.org/officeDocument/2006/relationships/hyperlink" Target="https://www.journals.uchicago.edu/doi/pdf/10.1086/717218" TargetMode="External"/><Relationship Id="rId10" Type="http://schemas.openxmlformats.org/officeDocument/2006/relationships/hyperlink" Target="https://www.spglobal.com/en/products/data-analytics" TargetMode="External"/><Relationship Id="rId19" Type="http://schemas.openxmlformats.org/officeDocument/2006/relationships/hyperlink" Target="https://www.journals.uchicago.edu/doi/pdf/10.1086/717218" TargetMode="External"/><Relationship Id="rId4" Type="http://schemas.openxmlformats.org/officeDocument/2006/relationships/hyperlink" Target="https://www.eia.gov/electricity/state/" TargetMode="External"/><Relationship Id="rId9" Type="http://schemas.openxmlformats.org/officeDocument/2006/relationships/hyperlink" Target="https://www.eia.gov/naturalgas/ngqs/" TargetMode="External"/><Relationship Id="rId14" Type="http://schemas.openxmlformats.org/officeDocument/2006/relationships/hyperlink" Target="https://ww2.arb.ca.gov/sites/default/files/2020-08/results_summary.pdf" TargetMode="External"/><Relationship Id="rId22" Type="http://schemas.openxmlformats.org/officeDocument/2006/relationships/hyperlink" Target="https://www.epa.gov/energy/greenhouse-gas-equivalencies-calculator-calculations-and-referenc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3"/>
  <sheetViews>
    <sheetView topLeftCell="H21" workbookViewId="0">
      <selection activeCell="F44" sqref="F44"/>
    </sheetView>
  </sheetViews>
  <sheetFormatPr baseColWidth="10" defaultColWidth="11.1640625" defaultRowHeight="15" customHeight="1"/>
  <cols>
    <col min="1" max="2" width="10.5" customWidth="1"/>
    <col min="3" max="3" width="27.5" customWidth="1"/>
    <col min="4" max="4" width="10.5" customWidth="1"/>
    <col min="5" max="5" width="21.1640625" customWidth="1"/>
    <col min="6" max="6" width="17" customWidth="1"/>
    <col min="7" max="12" width="10.5" customWidth="1"/>
    <col min="13" max="14" width="19" customWidth="1"/>
    <col min="15" max="15" width="26.83203125" customWidth="1"/>
    <col min="16" max="30" width="10.5" customWidth="1"/>
  </cols>
  <sheetData>
    <row r="1" spans="1:22" ht="15.75" customHeight="1">
      <c r="A1" s="1" t="s">
        <v>0</v>
      </c>
      <c r="E1" s="2" t="s">
        <v>1</v>
      </c>
      <c r="F1" s="2" t="s">
        <v>2</v>
      </c>
    </row>
    <row r="2" spans="1:22" ht="15.75" customHeight="1">
      <c r="A2" t="s">
        <v>113</v>
      </c>
    </row>
    <row r="3" spans="1:22" ht="15.75" customHeight="1"/>
    <row r="4" spans="1:22" ht="15.75" customHeight="1">
      <c r="B4" s="3"/>
      <c r="G4" s="4"/>
    </row>
    <row r="5" spans="1:22" ht="15.75" customHeight="1">
      <c r="B5" s="3" t="s">
        <v>3</v>
      </c>
      <c r="C5" s="2">
        <v>190</v>
      </c>
      <c r="E5" s="2" t="s">
        <v>4</v>
      </c>
      <c r="F5" s="2">
        <v>33.03</v>
      </c>
      <c r="G5" s="4"/>
    </row>
    <row r="6" spans="1:22" ht="15.75" customHeight="1">
      <c r="A6" s="5" t="s">
        <v>5</v>
      </c>
      <c r="C6" s="3" t="s">
        <v>6</v>
      </c>
      <c r="G6" s="6"/>
      <c r="H6" s="2" t="s">
        <v>7</v>
      </c>
    </row>
    <row r="7" spans="1:22" ht="15.75" customHeight="1">
      <c r="C7" s="2" t="s">
        <v>8</v>
      </c>
      <c r="D7" s="2" t="s">
        <v>9</v>
      </c>
      <c r="F7" s="2">
        <v>0.34039999999999998</v>
      </c>
      <c r="G7" s="7"/>
      <c r="H7" s="8" t="s">
        <v>10</v>
      </c>
    </row>
    <row r="8" spans="1:22" ht="15.75" customHeight="1">
      <c r="C8" s="2" t="s">
        <v>11</v>
      </c>
      <c r="F8" s="2">
        <v>6.0677749727168898E-2</v>
      </c>
      <c r="G8" s="7"/>
      <c r="H8" s="9" t="s">
        <v>12</v>
      </c>
    </row>
    <row r="9" spans="1:22" ht="15.75" customHeight="1">
      <c r="G9" s="6"/>
    </row>
    <row r="10" spans="1:22" ht="15.75" customHeight="1">
      <c r="C10" s="3" t="s">
        <v>13</v>
      </c>
      <c r="D10" s="2" t="s">
        <v>14</v>
      </c>
      <c r="F10" s="3">
        <v>0.40699999999999997</v>
      </c>
      <c r="G10" s="7"/>
      <c r="H10" s="10" t="s">
        <v>15</v>
      </c>
      <c r="M10" s="1"/>
      <c r="N10" s="11" t="s">
        <v>16</v>
      </c>
      <c r="O10" s="12"/>
      <c r="P10" s="12"/>
      <c r="Q10" s="12"/>
      <c r="R10" s="12"/>
      <c r="S10" s="12"/>
      <c r="T10" s="12"/>
      <c r="U10" s="12"/>
    </row>
    <row r="11" spans="1:22" ht="15.75" customHeight="1">
      <c r="C11" s="13" t="s">
        <v>17</v>
      </c>
      <c r="D11" s="3" t="s">
        <v>18</v>
      </c>
      <c r="F11" s="14">
        <v>4.4999999999999998E-2</v>
      </c>
      <c r="G11" s="4"/>
      <c r="H11" s="8" t="s">
        <v>19</v>
      </c>
      <c r="N11" s="12"/>
      <c r="O11" s="15" t="s">
        <v>20</v>
      </c>
      <c r="P11" s="15" t="s">
        <v>21</v>
      </c>
      <c r="Q11" s="15" t="s">
        <v>22</v>
      </c>
      <c r="R11" s="15" t="s">
        <v>23</v>
      </c>
      <c r="S11" s="15" t="s">
        <v>24</v>
      </c>
      <c r="T11" s="15"/>
      <c r="U11" s="15"/>
    </row>
    <row r="12" spans="1:22" ht="15.75" customHeight="1">
      <c r="C12" s="3" t="s">
        <v>25</v>
      </c>
      <c r="F12" s="2">
        <f>(1/(1-F11))*F10</f>
        <v>0.42617801047120418</v>
      </c>
      <c r="G12" s="16"/>
      <c r="H12" s="13"/>
      <c r="N12" s="12" t="s">
        <v>26</v>
      </c>
      <c r="O12" s="17">
        <f>F8</f>
        <v>6.0677749727168898E-2</v>
      </c>
      <c r="P12" s="17">
        <f>F15</f>
        <v>1.4076659685863874E-2</v>
      </c>
      <c r="Q12" s="17">
        <f>F7-O12-P12</f>
        <v>0.26564559058696724</v>
      </c>
      <c r="R12" s="17"/>
      <c r="S12" s="17"/>
      <c r="T12" s="17"/>
      <c r="U12" s="17">
        <f>SUM(O12:Q12)</f>
        <v>0.34040000000000004</v>
      </c>
      <c r="V12" s="18"/>
    </row>
    <row r="13" spans="1:22" ht="15.75" customHeight="1">
      <c r="G13" s="6"/>
      <c r="H13" s="19"/>
      <c r="N13" s="12" t="s">
        <v>27</v>
      </c>
      <c r="O13" s="17">
        <f>F8</f>
        <v>6.0677749727168898E-2</v>
      </c>
      <c r="P13" s="17">
        <f>P12</f>
        <v>1.4076659685863874E-2</v>
      </c>
      <c r="Q13" s="17"/>
      <c r="R13" s="17">
        <f>F21/1000</f>
        <v>6.6897162303664909E-2</v>
      </c>
      <c r="S13" s="17">
        <f>(F18+F19)/1000</f>
        <v>3.6769999999999997E-3</v>
      </c>
      <c r="T13" s="17"/>
      <c r="U13" s="17">
        <f>O13+P13+R13+S13</f>
        <v>0.14532857171669766</v>
      </c>
      <c r="V13" s="18"/>
    </row>
    <row r="14" spans="1:22" ht="15.75" customHeight="1">
      <c r="C14" s="2" t="s">
        <v>28</v>
      </c>
      <c r="D14" s="2" t="s">
        <v>29</v>
      </c>
      <c r="F14" s="2">
        <v>33.03</v>
      </c>
      <c r="G14" s="4"/>
      <c r="H14" s="9" t="s">
        <v>30</v>
      </c>
    </row>
    <row r="15" spans="1:22" ht="15.75" customHeight="1">
      <c r="C15" s="3" t="s">
        <v>31</v>
      </c>
      <c r="D15" s="2" t="s">
        <v>9</v>
      </c>
      <c r="F15" s="2">
        <f>F14*F12/1000</f>
        <v>1.4076659685863874E-2</v>
      </c>
      <c r="G15" s="16"/>
      <c r="H15" s="13"/>
    </row>
    <row r="16" spans="1:22" ht="15.75" customHeight="1">
      <c r="G16" s="6"/>
      <c r="H16" s="19"/>
      <c r="N16" s="2" t="s">
        <v>32</v>
      </c>
      <c r="P16" s="2">
        <f>P12/U12</f>
        <v>4.1353289323924423E-2</v>
      </c>
    </row>
    <row r="17" spans="1:20" ht="15.75" customHeight="1">
      <c r="G17" s="6"/>
      <c r="H17" s="19"/>
    </row>
    <row r="18" spans="1:20" ht="15.75" customHeight="1">
      <c r="A18" s="3" t="s">
        <v>33</v>
      </c>
      <c r="C18" s="2" t="s">
        <v>34</v>
      </c>
      <c r="F18" s="2">
        <v>1.7869999999999999</v>
      </c>
      <c r="G18" s="7"/>
      <c r="H18" s="10" t="s">
        <v>15</v>
      </c>
    </row>
    <row r="19" spans="1:20" ht="15.75" customHeight="1">
      <c r="C19" s="2" t="s">
        <v>35</v>
      </c>
      <c r="F19" s="2">
        <v>1.89</v>
      </c>
      <c r="G19" s="7"/>
      <c r="H19" s="10" t="s">
        <v>15</v>
      </c>
    </row>
    <row r="20" spans="1:20" ht="15.75" customHeight="1">
      <c r="C20" s="2" t="s">
        <v>36</v>
      </c>
      <c r="F20" s="2">
        <f>C5</f>
        <v>190</v>
      </c>
      <c r="G20" s="7"/>
      <c r="H20" s="20" t="s">
        <v>37</v>
      </c>
    </row>
    <row r="21" spans="1:20" ht="15.75" customHeight="1">
      <c r="C21" s="3" t="s">
        <v>38</v>
      </c>
      <c r="F21" s="18">
        <f>(F20-F14)*F12</f>
        <v>66.897162303664913</v>
      </c>
      <c r="G21" s="16"/>
    </row>
    <row r="22" spans="1:20" ht="15.75" customHeight="1">
      <c r="G22" s="6"/>
      <c r="H22" s="19"/>
    </row>
    <row r="23" spans="1:20" ht="15.75" customHeight="1">
      <c r="C23" s="3" t="s">
        <v>39</v>
      </c>
      <c r="F23" s="21">
        <f>(F18+F19+F21)/1000</f>
        <v>7.0574162303664909E-2</v>
      </c>
      <c r="G23" s="16"/>
      <c r="H23" s="22"/>
    </row>
    <row r="24" spans="1:20" ht="15.75" customHeight="1">
      <c r="G24" s="6"/>
    </row>
    <row r="25" spans="1:20" ht="15.75" customHeight="1">
      <c r="G25" s="6"/>
    </row>
    <row r="26" spans="1:20" ht="15.75" customHeight="1">
      <c r="A26" s="23" t="s">
        <v>40</v>
      </c>
      <c r="C26" s="3" t="s">
        <v>41</v>
      </c>
      <c r="D26" s="2">
        <v>2023</v>
      </c>
      <c r="G26" s="6"/>
      <c r="H26" s="19"/>
    </row>
    <row r="27" spans="1:20" ht="15.75" customHeight="1">
      <c r="A27" s="3" t="s">
        <v>42</v>
      </c>
      <c r="B27" s="3"/>
      <c r="C27" s="2" t="s">
        <v>43</v>
      </c>
      <c r="D27" s="3" t="s">
        <v>44</v>
      </c>
      <c r="F27" s="2">
        <v>2.1</v>
      </c>
      <c r="G27" s="7"/>
      <c r="H27" s="8" t="s">
        <v>45</v>
      </c>
    </row>
    <row r="28" spans="1:20" ht="15.75" customHeight="1">
      <c r="B28" s="3"/>
      <c r="C28" s="2" t="s">
        <v>46</v>
      </c>
      <c r="D28" s="2" t="s">
        <v>47</v>
      </c>
      <c r="F28" s="2">
        <v>6.2389999999999999</v>
      </c>
      <c r="G28" s="7"/>
      <c r="H28" s="20" t="s">
        <v>48</v>
      </c>
    </row>
    <row r="29" spans="1:20" ht="15.75" customHeight="1">
      <c r="B29" s="3"/>
      <c r="C29" s="2" t="s">
        <v>49</v>
      </c>
      <c r="F29" s="2">
        <v>0.1</v>
      </c>
      <c r="G29" s="7"/>
      <c r="H29" s="13"/>
      <c r="N29" s="11" t="s">
        <v>114</v>
      </c>
      <c r="O29" s="24"/>
      <c r="P29" s="24"/>
      <c r="Q29" s="24"/>
      <c r="R29" s="24"/>
      <c r="S29" s="24"/>
      <c r="T29" s="24"/>
    </row>
    <row r="30" spans="1:20" ht="15.75" customHeight="1">
      <c r="D30" s="2" t="s">
        <v>44</v>
      </c>
      <c r="F30" s="2">
        <f>F29*F28</f>
        <v>0.62390000000000001</v>
      </c>
      <c r="G30" s="7"/>
      <c r="H30" s="13"/>
      <c r="N30" s="24"/>
      <c r="O30" s="25" t="s">
        <v>20</v>
      </c>
      <c r="P30" s="25" t="s">
        <v>21</v>
      </c>
      <c r="Q30" s="25" t="s">
        <v>22</v>
      </c>
      <c r="R30" s="25" t="s">
        <v>23</v>
      </c>
      <c r="S30" s="25" t="s">
        <v>50</v>
      </c>
      <c r="T30" s="25"/>
    </row>
    <row r="31" spans="1:20" ht="15.75" customHeight="1">
      <c r="B31" s="3"/>
      <c r="C31" s="3" t="s">
        <v>51</v>
      </c>
      <c r="F31" s="26">
        <v>1.6999999999999999E-3</v>
      </c>
      <c r="G31" s="7"/>
      <c r="H31" s="8" t="s">
        <v>52</v>
      </c>
      <c r="M31" s="3"/>
      <c r="N31" s="27" t="s">
        <v>53</v>
      </c>
      <c r="O31" s="28">
        <f>F30</f>
        <v>0.62390000000000001</v>
      </c>
      <c r="P31" s="28">
        <f>F38</f>
        <v>0.17529021</v>
      </c>
      <c r="Q31" s="28">
        <f>F27-O31-P31</f>
        <v>1.3008097900000002</v>
      </c>
      <c r="R31" s="28"/>
      <c r="S31" s="28"/>
      <c r="T31" s="28">
        <f>SUM(O31:Q31)</f>
        <v>2.1</v>
      </c>
    </row>
    <row r="32" spans="1:20" ht="15.75" customHeight="1">
      <c r="B32" s="3"/>
      <c r="C32" s="2" t="s">
        <v>54</v>
      </c>
      <c r="F32" s="29">
        <f>F30/(1-F31)</f>
        <v>0.62496243614144054</v>
      </c>
      <c r="G32" s="7"/>
      <c r="H32" s="13"/>
      <c r="M32" s="3"/>
      <c r="N32" s="27" t="s">
        <v>55</v>
      </c>
      <c r="O32" s="28">
        <f>F30</f>
        <v>0.62390000000000001</v>
      </c>
      <c r="P32" s="28">
        <f>F38</f>
        <v>0.17529021</v>
      </c>
      <c r="Q32" s="28"/>
      <c r="R32" s="28">
        <f>F43</f>
        <v>1.5913297899999999</v>
      </c>
      <c r="S32" s="28">
        <f>F41</f>
        <v>0.17499999999999999</v>
      </c>
      <c r="T32" s="28">
        <f>SUM(O32:S32)</f>
        <v>2.5655199999999998</v>
      </c>
    </row>
    <row r="33" spans="1:20" ht="15.75" customHeight="1">
      <c r="G33" s="6"/>
      <c r="H33" s="19"/>
    </row>
    <row r="34" spans="1:20" ht="15.75" customHeight="1">
      <c r="B34" s="3"/>
      <c r="C34" s="2" t="s">
        <v>56</v>
      </c>
      <c r="F34" s="2">
        <v>5.3069999999999999E-2</v>
      </c>
      <c r="G34" s="6"/>
      <c r="H34" s="8" t="s">
        <v>57</v>
      </c>
    </row>
    <row r="35" spans="1:20" ht="15.75" customHeight="1">
      <c r="B35" s="3"/>
      <c r="C35" s="2" t="s">
        <v>58</v>
      </c>
      <c r="D35" s="2" t="s">
        <v>59</v>
      </c>
      <c r="F35" s="30">
        <f>0.09298</f>
        <v>9.2979999999999993E-2</v>
      </c>
      <c r="G35" s="22"/>
      <c r="H35" s="20" t="s">
        <v>60</v>
      </c>
      <c r="N35" s="2" t="s">
        <v>32</v>
      </c>
      <c r="P35" s="2">
        <f>P31/T31</f>
        <v>8.3471528571428574E-2</v>
      </c>
    </row>
    <row r="36" spans="1:20" ht="15.75" customHeight="1">
      <c r="B36" s="3"/>
      <c r="C36" s="2" t="s">
        <v>28</v>
      </c>
      <c r="D36" s="2" t="s">
        <v>29</v>
      </c>
      <c r="F36" s="2">
        <v>33.03</v>
      </c>
      <c r="G36" s="4"/>
      <c r="H36" s="9" t="s">
        <v>30</v>
      </c>
    </row>
    <row r="37" spans="1:20" ht="15.75" customHeight="1">
      <c r="B37" s="3"/>
      <c r="C37" s="2" t="s">
        <v>61</v>
      </c>
      <c r="D37" s="2" t="s">
        <v>47</v>
      </c>
      <c r="E37" s="3" t="s">
        <v>62</v>
      </c>
      <c r="F37" s="2">
        <f>F36*F34</f>
        <v>1.7529021</v>
      </c>
      <c r="G37" s="16"/>
      <c r="H37" s="13"/>
    </row>
    <row r="38" spans="1:20" ht="15.75" customHeight="1">
      <c r="B38" s="3"/>
      <c r="C38" s="2" t="s">
        <v>63</v>
      </c>
      <c r="D38" s="2" t="s">
        <v>44</v>
      </c>
      <c r="E38" s="3" t="s">
        <v>64</v>
      </c>
      <c r="F38" s="2">
        <f>0.1*F37</f>
        <v>0.17529021</v>
      </c>
      <c r="G38" s="16"/>
      <c r="H38" s="13"/>
    </row>
    <row r="39" spans="1:20" ht="15.75" customHeight="1">
      <c r="G39" s="6"/>
      <c r="H39" s="19"/>
    </row>
    <row r="40" spans="1:20" ht="15.75" customHeight="1">
      <c r="B40" s="2" t="s">
        <v>65</v>
      </c>
      <c r="C40" s="2" t="s">
        <v>66</v>
      </c>
      <c r="D40" s="2" t="s">
        <v>47</v>
      </c>
      <c r="F40" s="2">
        <v>1.75</v>
      </c>
      <c r="G40" s="7"/>
      <c r="H40" s="10" t="s">
        <v>15</v>
      </c>
    </row>
    <row r="41" spans="1:20" ht="15.75" customHeight="1">
      <c r="D41" s="2" t="s">
        <v>44</v>
      </c>
      <c r="F41" s="2">
        <f>F40/10</f>
        <v>0.17499999999999999</v>
      </c>
      <c r="G41" s="7"/>
      <c r="H41" s="13"/>
    </row>
    <row r="42" spans="1:20" ht="15.75" customHeight="1">
      <c r="C42" s="2" t="s">
        <v>67</v>
      </c>
      <c r="D42" s="2" t="s">
        <v>29</v>
      </c>
      <c r="F42" s="2">
        <f>C5</f>
        <v>190</v>
      </c>
      <c r="G42" s="7"/>
      <c r="H42" s="9" t="s">
        <v>68</v>
      </c>
    </row>
    <row r="43" spans="1:20" ht="15.75" customHeight="1">
      <c r="C43" s="2" t="s">
        <v>69</v>
      </c>
      <c r="D43" s="2" t="s">
        <v>44</v>
      </c>
      <c r="F43" s="31">
        <f>(F35*F29*F42)-F38</f>
        <v>1.5913297899999999</v>
      </c>
      <c r="G43" s="32"/>
      <c r="H43" s="22"/>
    </row>
    <row r="44" spans="1:20" ht="15.75" customHeight="1">
      <c r="C44" s="2" t="s">
        <v>65</v>
      </c>
      <c r="D44" s="2" t="s">
        <v>44</v>
      </c>
      <c r="F44" s="33">
        <f>F43+F41</f>
        <v>1.7663297899999999</v>
      </c>
      <c r="G44" s="16"/>
      <c r="H44" s="22"/>
    </row>
    <row r="45" spans="1:20" ht="15.75" customHeight="1">
      <c r="G45" s="6"/>
    </row>
    <row r="46" spans="1:20" ht="15.75" customHeight="1">
      <c r="G46" s="6"/>
    </row>
    <row r="47" spans="1:20" ht="15.75" customHeight="1">
      <c r="A47" s="1" t="s">
        <v>70</v>
      </c>
      <c r="G47" s="6"/>
      <c r="N47" s="36" t="s">
        <v>115</v>
      </c>
    </row>
    <row r="48" spans="1:20" ht="15.75" customHeight="1">
      <c r="C48" s="2" t="s">
        <v>71</v>
      </c>
      <c r="D48" s="2" t="s">
        <v>72</v>
      </c>
      <c r="F48" s="2">
        <v>5.08</v>
      </c>
      <c r="G48" s="7"/>
      <c r="H48" s="9" t="s">
        <v>73</v>
      </c>
      <c r="N48" s="12"/>
      <c r="O48" s="34" t="s">
        <v>74</v>
      </c>
      <c r="P48" s="12" t="s">
        <v>21</v>
      </c>
      <c r="Q48" s="12" t="s">
        <v>22</v>
      </c>
      <c r="R48" s="12" t="s">
        <v>23</v>
      </c>
      <c r="S48" s="12" t="s">
        <v>75</v>
      </c>
      <c r="T48" s="12" t="s">
        <v>76</v>
      </c>
    </row>
    <row r="49" spans="3:22" ht="15.75" customHeight="1">
      <c r="C49" s="2" t="s">
        <v>77</v>
      </c>
      <c r="D49" s="2" t="s">
        <v>72</v>
      </c>
      <c r="F49" s="2">
        <v>3.3443560202916469</v>
      </c>
      <c r="G49" s="7"/>
      <c r="H49" s="20" t="s">
        <v>78</v>
      </c>
      <c r="M49" s="3"/>
      <c r="N49" s="34" t="s">
        <v>79</v>
      </c>
      <c r="O49" s="17">
        <f>F52-F58</f>
        <v>3.3372062111449994</v>
      </c>
      <c r="P49" s="17">
        <f>F58</f>
        <v>0.26100306000000001</v>
      </c>
      <c r="Q49" s="17">
        <f>F48-F52</f>
        <v>1.4817907288550005</v>
      </c>
      <c r="R49" s="17"/>
      <c r="S49" s="17"/>
      <c r="T49" s="17"/>
      <c r="U49" s="33">
        <f>SUM(O49:R49)</f>
        <v>5.08</v>
      </c>
      <c r="V49" s="3" t="s">
        <v>80</v>
      </c>
    </row>
    <row r="50" spans="3:22" ht="15.75" customHeight="1">
      <c r="C50" s="2" t="s">
        <v>81</v>
      </c>
      <c r="D50" s="2" t="s">
        <v>72</v>
      </c>
      <c r="F50" s="2">
        <v>0.12695546379897255</v>
      </c>
      <c r="G50" s="7"/>
      <c r="H50" s="10" t="s">
        <v>15</v>
      </c>
      <c r="M50" s="3"/>
      <c r="N50" s="34" t="s">
        <v>82</v>
      </c>
      <c r="O50" s="17">
        <f>O49</f>
        <v>3.3372062111449994</v>
      </c>
      <c r="P50" s="17">
        <f>F58</f>
        <v>0.26100306000000001</v>
      </c>
      <c r="Q50" s="17"/>
      <c r="R50" s="17">
        <f>F59</f>
        <v>1.71499694</v>
      </c>
      <c r="S50" s="17"/>
      <c r="T50" s="17">
        <f>F60</f>
        <v>0.76400000000000001</v>
      </c>
      <c r="U50" s="33">
        <f>SUM(O50:T50)</f>
        <v>6.0772062111449996</v>
      </c>
      <c r="V50" s="3" t="s">
        <v>83</v>
      </c>
    </row>
    <row r="51" spans="3:22" ht="15.75" customHeight="1">
      <c r="C51" s="2" t="s">
        <v>84</v>
      </c>
      <c r="D51" s="2" t="s">
        <v>72</v>
      </c>
      <c r="F51" s="2">
        <v>0.12689778705437976</v>
      </c>
      <c r="G51" s="7"/>
      <c r="H51" s="20" t="s">
        <v>85</v>
      </c>
    </row>
    <row r="52" spans="3:22" ht="15.75" customHeight="1">
      <c r="C52" s="2" t="s">
        <v>86</v>
      </c>
      <c r="D52" s="2" t="s">
        <v>72</v>
      </c>
      <c r="F52" s="3">
        <f>F49+F50+F51</f>
        <v>3.5982092711449996</v>
      </c>
      <c r="G52" s="7"/>
    </row>
    <row r="53" spans="3:22" ht="15.75" customHeight="1">
      <c r="C53" s="2" t="s">
        <v>87</v>
      </c>
      <c r="D53" s="2" t="s">
        <v>72</v>
      </c>
      <c r="F53" s="3">
        <v>0.09</v>
      </c>
      <c r="G53" s="7"/>
      <c r="H53" s="22" t="s">
        <v>88</v>
      </c>
      <c r="P53" s="2">
        <f>P49/U49</f>
        <v>5.1378555118110236E-2</v>
      </c>
      <c r="T53" s="2">
        <f>P49/U49</f>
        <v>5.1378555118110236E-2</v>
      </c>
    </row>
    <row r="54" spans="3:22" ht="15.75" customHeight="1">
      <c r="G54" s="6"/>
    </row>
    <row r="55" spans="3:22" ht="15.75" customHeight="1">
      <c r="C55" s="2" t="s">
        <v>65</v>
      </c>
      <c r="G55" s="4"/>
    </row>
    <row r="56" spans="3:22" ht="15.75" customHeight="1">
      <c r="C56" s="2" t="s">
        <v>89</v>
      </c>
      <c r="F56" s="2">
        <v>7.9019999999999993E-3</v>
      </c>
      <c r="G56" s="7"/>
      <c r="H56" s="20" t="s">
        <v>90</v>
      </c>
    </row>
    <row r="57" spans="3:22" ht="15.75" customHeight="1">
      <c r="C57" s="2" t="s">
        <v>91</v>
      </c>
      <c r="F57" s="35">
        <v>1.04E-2</v>
      </c>
      <c r="G57" s="7"/>
      <c r="H57" s="20" t="s">
        <v>92</v>
      </c>
    </row>
    <row r="58" spans="3:22" ht="15.75" customHeight="1">
      <c r="C58" s="2" t="s">
        <v>61</v>
      </c>
      <c r="F58" s="2">
        <f>F56*F5</f>
        <v>0.26100306000000001</v>
      </c>
      <c r="G58" s="16"/>
    </row>
    <row r="59" spans="3:22" ht="15.75" customHeight="1">
      <c r="C59" s="2" t="s">
        <v>23</v>
      </c>
      <c r="F59" s="2">
        <f>(F57*190)-F58</f>
        <v>1.71499694</v>
      </c>
      <c r="G59" s="16"/>
      <c r="H59" s="22"/>
    </row>
    <row r="60" spans="3:22" ht="15.75" customHeight="1">
      <c r="C60" s="2" t="s">
        <v>76</v>
      </c>
      <c r="F60" s="2">
        <v>0.76400000000000001</v>
      </c>
      <c r="G60" s="7"/>
      <c r="H60" s="10" t="s">
        <v>15</v>
      </c>
    </row>
    <row r="61" spans="3:22" ht="15.75" customHeight="1">
      <c r="G61" s="16"/>
    </row>
    <row r="62" spans="3:22" ht="15.75" customHeight="1">
      <c r="C62" s="2" t="s">
        <v>93</v>
      </c>
      <c r="F62" s="2">
        <f>F59+F60</f>
        <v>2.47899694</v>
      </c>
      <c r="G62" s="16"/>
    </row>
    <row r="63" spans="3:22" ht="15.75" customHeight="1">
      <c r="G63" s="6"/>
    </row>
    <row r="64" spans="3:22" ht="15.75" customHeight="1">
      <c r="G64" s="6"/>
    </row>
    <row r="65" spans="7:7" ht="15.75" customHeight="1">
      <c r="G65" s="6"/>
    </row>
    <row r="66" spans="7:7" ht="15.75" customHeight="1">
      <c r="G66" s="6"/>
    </row>
    <row r="67" spans="7:7" ht="15.75" customHeight="1">
      <c r="G67" s="6"/>
    </row>
    <row r="68" spans="7:7" ht="15.75" customHeight="1">
      <c r="G68" s="6"/>
    </row>
    <row r="69" spans="7:7" ht="15.75" customHeight="1">
      <c r="G69" s="6"/>
    </row>
    <row r="70" spans="7:7" ht="15.75" customHeight="1">
      <c r="G70" s="6"/>
    </row>
    <row r="71" spans="7:7" ht="15.75" customHeight="1">
      <c r="G71" s="6"/>
    </row>
    <row r="72" spans="7:7" ht="15.75" customHeight="1">
      <c r="G72" s="6"/>
    </row>
    <row r="73" spans="7:7" ht="15.75" customHeight="1">
      <c r="G73" s="6"/>
    </row>
    <row r="74" spans="7:7" ht="15.75" customHeight="1">
      <c r="G74" s="6"/>
    </row>
    <row r="75" spans="7:7" ht="15.75" customHeight="1">
      <c r="G75" s="6"/>
    </row>
    <row r="76" spans="7:7" ht="15.75" customHeight="1">
      <c r="G76" s="6"/>
    </row>
    <row r="77" spans="7:7" ht="15.75" customHeight="1">
      <c r="G77" s="6"/>
    </row>
    <row r="78" spans="7:7" ht="15.75" customHeight="1">
      <c r="G78" s="6"/>
    </row>
    <row r="79" spans="7:7" ht="15.75" customHeight="1">
      <c r="G79" s="6"/>
    </row>
    <row r="80" spans="7:7" ht="15.75" customHeight="1">
      <c r="G80" s="6"/>
    </row>
    <row r="81" spans="7:7" ht="15.75" customHeight="1">
      <c r="G81" s="6"/>
    </row>
    <row r="82" spans="7:7" ht="15.75" customHeight="1">
      <c r="G82" s="6"/>
    </row>
    <row r="83" spans="7:7" ht="15.75" customHeight="1">
      <c r="G83" s="6"/>
    </row>
    <row r="84" spans="7:7" ht="15.75" customHeight="1">
      <c r="G84" s="6"/>
    </row>
    <row r="85" spans="7:7" ht="15.75" customHeight="1">
      <c r="G85" s="6"/>
    </row>
    <row r="86" spans="7:7" ht="15.75" customHeight="1">
      <c r="G86" s="6"/>
    </row>
    <row r="87" spans="7:7" ht="15.75" customHeight="1">
      <c r="G87" s="6"/>
    </row>
    <row r="88" spans="7:7" ht="15.75" customHeight="1">
      <c r="G88" s="6"/>
    </row>
    <row r="89" spans="7:7" ht="15.75" customHeight="1">
      <c r="G89" s="6"/>
    </row>
    <row r="90" spans="7:7" ht="15.75" customHeight="1">
      <c r="G90" s="6"/>
    </row>
    <row r="91" spans="7:7" ht="15.75" customHeight="1">
      <c r="G91" s="6"/>
    </row>
    <row r="92" spans="7:7" ht="15.75" customHeight="1">
      <c r="G92" s="6"/>
    </row>
    <row r="93" spans="7:7" ht="15.75" customHeight="1">
      <c r="G93" s="6"/>
    </row>
    <row r="94" spans="7:7" ht="15.75" customHeight="1">
      <c r="G94" s="6"/>
    </row>
    <row r="95" spans="7:7" ht="15.75" customHeight="1">
      <c r="G95" s="6"/>
    </row>
    <row r="96" spans="7:7" ht="15.75" customHeight="1">
      <c r="G96" s="6"/>
    </row>
    <row r="97" spans="7:7" ht="15.75" customHeight="1">
      <c r="G97" s="6"/>
    </row>
    <row r="98" spans="7:7" ht="15.75" customHeight="1">
      <c r="G98" s="6"/>
    </row>
    <row r="99" spans="7:7" ht="15.75" customHeight="1">
      <c r="G99" s="6"/>
    </row>
    <row r="100" spans="7:7" ht="15.75" customHeight="1">
      <c r="G100" s="6"/>
    </row>
    <row r="101" spans="7:7" ht="15.75" customHeight="1">
      <c r="G101" s="6"/>
    </row>
    <row r="102" spans="7:7" ht="15.75" customHeight="1">
      <c r="G102" s="6"/>
    </row>
    <row r="103" spans="7:7" ht="15.75" customHeight="1">
      <c r="G103" s="6"/>
    </row>
    <row r="104" spans="7:7" ht="15.75" customHeight="1">
      <c r="G104" s="6"/>
    </row>
    <row r="105" spans="7:7" ht="15.75" customHeight="1">
      <c r="G105" s="6"/>
    </row>
    <row r="106" spans="7:7" ht="15.75" customHeight="1">
      <c r="G106" s="6"/>
    </row>
    <row r="107" spans="7:7" ht="15.75" customHeight="1">
      <c r="G107" s="6"/>
    </row>
    <row r="108" spans="7:7" ht="15.75" customHeight="1">
      <c r="G108" s="6"/>
    </row>
    <row r="109" spans="7:7" ht="15.75" customHeight="1">
      <c r="G109" s="6"/>
    </row>
    <row r="110" spans="7:7" ht="15.75" customHeight="1">
      <c r="G110" s="6"/>
    </row>
    <row r="111" spans="7:7" ht="15.75" customHeight="1">
      <c r="G111" s="6"/>
    </row>
    <row r="112" spans="7:7" ht="15.75" customHeight="1">
      <c r="G112" s="6"/>
    </row>
    <row r="113" spans="7:7" ht="15.75" customHeight="1">
      <c r="G113" s="6"/>
    </row>
    <row r="114" spans="7:7" ht="15.75" customHeight="1">
      <c r="G114" s="6"/>
    </row>
    <row r="115" spans="7:7" ht="15.75" customHeight="1">
      <c r="G115" s="6"/>
    </row>
    <row r="116" spans="7:7" ht="15.75" customHeight="1">
      <c r="G116" s="6"/>
    </row>
    <row r="117" spans="7:7" ht="15.75" customHeight="1">
      <c r="G117" s="6"/>
    </row>
    <row r="118" spans="7:7" ht="15.75" customHeight="1">
      <c r="G118" s="6"/>
    </row>
    <row r="119" spans="7:7" ht="15.75" customHeight="1">
      <c r="G119" s="6"/>
    </row>
    <row r="120" spans="7:7" ht="15.75" customHeight="1">
      <c r="G120" s="6"/>
    </row>
    <row r="121" spans="7:7" ht="15.75" customHeight="1">
      <c r="G121" s="6"/>
    </row>
    <row r="122" spans="7:7" ht="15.75" customHeight="1">
      <c r="G122" s="6"/>
    </row>
    <row r="123" spans="7:7" ht="15.75" customHeight="1">
      <c r="G123" s="6"/>
    </row>
    <row r="124" spans="7:7" ht="15.75" customHeight="1">
      <c r="G124" s="6"/>
    </row>
    <row r="125" spans="7:7" ht="15.75" customHeight="1">
      <c r="G125" s="6"/>
    </row>
    <row r="126" spans="7:7" ht="15.75" customHeight="1">
      <c r="G126" s="6"/>
    </row>
    <row r="127" spans="7:7" ht="15.75" customHeight="1">
      <c r="G127" s="6"/>
    </row>
    <row r="128" spans="7:7" ht="15.75" customHeight="1">
      <c r="G128" s="6"/>
    </row>
    <row r="129" spans="7:7" ht="15.75" customHeight="1">
      <c r="G129" s="6"/>
    </row>
    <row r="130" spans="7:7" ht="15.75" customHeight="1">
      <c r="G130" s="6"/>
    </row>
    <row r="131" spans="7:7" ht="15.75" customHeight="1">
      <c r="G131" s="6"/>
    </row>
    <row r="132" spans="7:7" ht="15.75" customHeight="1">
      <c r="G132" s="6"/>
    </row>
    <row r="133" spans="7:7" ht="15.75" customHeight="1">
      <c r="G133" s="6"/>
    </row>
    <row r="134" spans="7:7" ht="15.75" customHeight="1">
      <c r="G134" s="6"/>
    </row>
    <row r="135" spans="7:7" ht="15.75" customHeight="1">
      <c r="G135" s="6"/>
    </row>
    <row r="136" spans="7:7" ht="15.75" customHeight="1">
      <c r="G136" s="6"/>
    </row>
    <row r="137" spans="7:7" ht="15.75" customHeight="1">
      <c r="G137" s="6"/>
    </row>
    <row r="138" spans="7:7" ht="15.75" customHeight="1">
      <c r="G138" s="6"/>
    </row>
    <row r="139" spans="7:7" ht="15.75" customHeight="1">
      <c r="G139" s="6"/>
    </row>
    <row r="140" spans="7:7" ht="15.75" customHeight="1">
      <c r="G140" s="6"/>
    </row>
    <row r="141" spans="7:7" ht="15.75" customHeight="1">
      <c r="G141" s="6"/>
    </row>
    <row r="142" spans="7:7" ht="15.75" customHeight="1">
      <c r="G142" s="6"/>
    </row>
    <row r="143" spans="7:7" ht="15.75" customHeight="1">
      <c r="G143" s="6"/>
    </row>
    <row r="144" spans="7:7" ht="15.75" customHeight="1">
      <c r="G144" s="6"/>
    </row>
    <row r="145" spans="7:7" ht="15.75" customHeight="1">
      <c r="G145" s="6"/>
    </row>
    <row r="146" spans="7:7" ht="15.75" customHeight="1">
      <c r="G146" s="6"/>
    </row>
    <row r="147" spans="7:7" ht="15.75" customHeight="1">
      <c r="G147" s="6"/>
    </row>
    <row r="148" spans="7:7" ht="15.75" customHeight="1">
      <c r="G148" s="6"/>
    </row>
    <row r="149" spans="7:7" ht="15.75" customHeight="1">
      <c r="G149" s="6"/>
    </row>
    <row r="150" spans="7:7" ht="15.75" customHeight="1">
      <c r="G150" s="6"/>
    </row>
    <row r="151" spans="7:7" ht="15.75" customHeight="1">
      <c r="G151" s="6"/>
    </row>
    <row r="152" spans="7:7" ht="15.75" customHeight="1">
      <c r="G152" s="6"/>
    </row>
    <row r="153" spans="7:7" ht="15.75" customHeight="1">
      <c r="G153" s="6"/>
    </row>
    <row r="154" spans="7:7" ht="15.75" customHeight="1">
      <c r="G154" s="6"/>
    </row>
    <row r="155" spans="7:7" ht="15.75" customHeight="1">
      <c r="G155" s="6"/>
    </row>
    <row r="156" spans="7:7" ht="15.75" customHeight="1">
      <c r="G156" s="6"/>
    </row>
    <row r="157" spans="7:7" ht="15.75" customHeight="1">
      <c r="G157" s="6"/>
    </row>
    <row r="158" spans="7:7" ht="15.75" customHeight="1">
      <c r="G158" s="6"/>
    </row>
    <row r="159" spans="7:7" ht="15.75" customHeight="1">
      <c r="G159" s="6"/>
    </row>
    <row r="160" spans="7:7" ht="15.75" customHeight="1">
      <c r="G160" s="6"/>
    </row>
    <row r="161" spans="7:7" ht="15.75" customHeight="1">
      <c r="G161" s="6"/>
    </row>
    <row r="162" spans="7:7" ht="15.75" customHeight="1">
      <c r="G162" s="6"/>
    </row>
    <row r="163" spans="7:7" ht="15.75" customHeight="1">
      <c r="G163" s="6"/>
    </row>
    <row r="164" spans="7:7" ht="15.75" customHeight="1">
      <c r="G164" s="6"/>
    </row>
    <row r="165" spans="7:7" ht="15.75" customHeight="1">
      <c r="G165" s="6"/>
    </row>
    <row r="166" spans="7:7" ht="15.75" customHeight="1">
      <c r="G166" s="6"/>
    </row>
    <row r="167" spans="7:7" ht="15.75" customHeight="1">
      <c r="G167" s="6"/>
    </row>
    <row r="168" spans="7:7" ht="15.75" customHeight="1">
      <c r="G168" s="6"/>
    </row>
    <row r="169" spans="7:7" ht="15.75" customHeight="1">
      <c r="G169" s="6"/>
    </row>
    <row r="170" spans="7:7" ht="15.75" customHeight="1">
      <c r="G170" s="6"/>
    </row>
    <row r="171" spans="7:7" ht="15.75" customHeight="1">
      <c r="G171" s="6"/>
    </row>
    <row r="172" spans="7:7" ht="15.75" customHeight="1">
      <c r="G172" s="6"/>
    </row>
    <row r="173" spans="7:7" ht="15.75" customHeight="1">
      <c r="G173" s="6"/>
    </row>
    <row r="174" spans="7:7" ht="15.75" customHeight="1">
      <c r="G174" s="6"/>
    </row>
    <row r="175" spans="7:7" ht="15.75" customHeight="1">
      <c r="G175" s="6"/>
    </row>
    <row r="176" spans="7:7" ht="15.75" customHeight="1">
      <c r="G176" s="6"/>
    </row>
    <row r="177" spans="7:7" ht="15.75" customHeight="1">
      <c r="G177" s="6"/>
    </row>
    <row r="178" spans="7:7" ht="15.75" customHeight="1">
      <c r="G178" s="6"/>
    </row>
    <row r="179" spans="7:7" ht="15.75" customHeight="1">
      <c r="G179" s="6"/>
    </row>
    <row r="180" spans="7:7" ht="15.75" customHeight="1">
      <c r="G180" s="6"/>
    </row>
    <row r="181" spans="7:7" ht="15.75" customHeight="1">
      <c r="G181" s="6"/>
    </row>
    <row r="182" spans="7:7" ht="15.75" customHeight="1">
      <c r="G182" s="6"/>
    </row>
    <row r="183" spans="7:7" ht="15.75" customHeight="1">
      <c r="G183" s="6"/>
    </row>
    <row r="184" spans="7:7" ht="15.75" customHeight="1">
      <c r="G184" s="6"/>
    </row>
    <row r="185" spans="7:7" ht="15.75" customHeight="1">
      <c r="G185" s="6"/>
    </row>
    <row r="186" spans="7:7" ht="15.75" customHeight="1">
      <c r="G186" s="6"/>
    </row>
    <row r="187" spans="7:7" ht="15.75" customHeight="1">
      <c r="G187" s="6"/>
    </row>
    <row r="188" spans="7:7" ht="15.75" customHeight="1">
      <c r="G188" s="6"/>
    </row>
    <row r="189" spans="7:7" ht="15.75" customHeight="1">
      <c r="G189" s="6"/>
    </row>
    <row r="190" spans="7:7" ht="15.75" customHeight="1">
      <c r="G190" s="6"/>
    </row>
    <row r="191" spans="7:7" ht="15.75" customHeight="1">
      <c r="G191" s="6"/>
    </row>
    <row r="192" spans="7:7" ht="15.75" customHeight="1">
      <c r="G192" s="6"/>
    </row>
    <row r="193" spans="7:7" ht="15.75" customHeight="1">
      <c r="G193" s="6"/>
    </row>
    <row r="194" spans="7:7" ht="15.75" customHeight="1">
      <c r="G194" s="6"/>
    </row>
    <row r="195" spans="7:7" ht="15.75" customHeight="1">
      <c r="G195" s="6"/>
    </row>
    <row r="196" spans="7:7" ht="15.75" customHeight="1">
      <c r="G196" s="6"/>
    </row>
    <row r="197" spans="7:7" ht="15.75" customHeight="1">
      <c r="G197" s="6"/>
    </row>
    <row r="198" spans="7:7" ht="15.75" customHeight="1">
      <c r="G198" s="6"/>
    </row>
    <row r="199" spans="7:7" ht="15.75" customHeight="1">
      <c r="G199" s="6"/>
    </row>
    <row r="200" spans="7:7" ht="15.75" customHeight="1">
      <c r="G200" s="6"/>
    </row>
    <row r="201" spans="7:7" ht="15.75" customHeight="1">
      <c r="G201" s="6"/>
    </row>
    <row r="202" spans="7:7" ht="15.75" customHeight="1">
      <c r="G202" s="6"/>
    </row>
    <row r="203" spans="7:7" ht="15.75" customHeight="1">
      <c r="G203" s="6"/>
    </row>
    <row r="204" spans="7:7" ht="15.75" customHeight="1">
      <c r="G204" s="6"/>
    </row>
    <row r="205" spans="7:7" ht="15.75" customHeight="1">
      <c r="G205" s="6"/>
    </row>
    <row r="206" spans="7:7" ht="15.75" customHeight="1">
      <c r="G206" s="6"/>
    </row>
    <row r="207" spans="7:7" ht="15.75" customHeight="1">
      <c r="G207" s="6"/>
    </row>
    <row r="208" spans="7:7" ht="15.75" customHeight="1">
      <c r="G208" s="6"/>
    </row>
    <row r="209" spans="7:7" ht="15.75" customHeight="1">
      <c r="G209" s="6"/>
    </row>
    <row r="210" spans="7:7" ht="15.75" customHeight="1">
      <c r="G210" s="6"/>
    </row>
    <row r="211" spans="7:7" ht="15.75" customHeight="1">
      <c r="G211" s="6"/>
    </row>
    <row r="212" spans="7:7" ht="15.75" customHeight="1">
      <c r="G212" s="6"/>
    </row>
    <row r="213" spans="7:7" ht="15.75" customHeight="1">
      <c r="G213" s="6"/>
    </row>
    <row r="214" spans="7:7" ht="15.75" customHeight="1">
      <c r="G214" s="6"/>
    </row>
    <row r="215" spans="7:7" ht="15.75" customHeight="1">
      <c r="G215" s="6"/>
    </row>
    <row r="216" spans="7:7" ht="15.75" customHeight="1">
      <c r="G216" s="6"/>
    </row>
    <row r="217" spans="7:7" ht="15.75" customHeight="1">
      <c r="G217" s="6"/>
    </row>
    <row r="218" spans="7:7" ht="15.75" customHeight="1">
      <c r="G218" s="6"/>
    </row>
    <row r="219" spans="7:7" ht="15.75" customHeight="1">
      <c r="G219" s="6"/>
    </row>
    <row r="220" spans="7:7" ht="15.75" customHeight="1">
      <c r="G220" s="6"/>
    </row>
    <row r="221" spans="7:7" ht="15.75" customHeight="1">
      <c r="G221" s="6"/>
    </row>
    <row r="222" spans="7:7" ht="15.75" customHeight="1">
      <c r="G222" s="6"/>
    </row>
    <row r="223" spans="7:7" ht="15.75" customHeight="1">
      <c r="G223" s="6"/>
    </row>
    <row r="224" spans="7:7" ht="15.75" customHeight="1">
      <c r="G224" s="6"/>
    </row>
    <row r="225" spans="7:7" ht="15.75" customHeight="1">
      <c r="G225" s="6"/>
    </row>
    <row r="226" spans="7:7" ht="15.75" customHeight="1">
      <c r="G226" s="6"/>
    </row>
    <row r="227" spans="7:7" ht="15.75" customHeight="1">
      <c r="G227" s="6"/>
    </row>
    <row r="228" spans="7:7" ht="15.75" customHeight="1">
      <c r="G228" s="6"/>
    </row>
    <row r="229" spans="7:7" ht="15.75" customHeight="1">
      <c r="G229" s="6"/>
    </row>
    <row r="230" spans="7:7" ht="15.75" customHeight="1">
      <c r="G230" s="6"/>
    </row>
    <row r="231" spans="7:7" ht="15.75" customHeight="1">
      <c r="G231" s="6"/>
    </row>
    <row r="232" spans="7:7" ht="15.75" customHeight="1">
      <c r="G232" s="6"/>
    </row>
    <row r="233" spans="7:7" ht="15.75" customHeight="1">
      <c r="G233" s="6"/>
    </row>
    <row r="234" spans="7:7" ht="15.75" customHeight="1">
      <c r="G234" s="6"/>
    </row>
    <row r="235" spans="7:7" ht="15.75" customHeight="1">
      <c r="G235" s="6"/>
    </row>
    <row r="236" spans="7:7" ht="15.75" customHeight="1">
      <c r="G236" s="6"/>
    </row>
    <row r="237" spans="7:7" ht="15.75" customHeight="1">
      <c r="G237" s="6"/>
    </row>
    <row r="238" spans="7:7" ht="15.75" customHeight="1">
      <c r="G238" s="6"/>
    </row>
    <row r="239" spans="7:7" ht="15.75" customHeight="1">
      <c r="G239" s="6"/>
    </row>
    <row r="240" spans="7:7" ht="15.75" customHeight="1">
      <c r="G240" s="6"/>
    </row>
    <row r="241" spans="7:7" ht="15.75" customHeight="1">
      <c r="G241" s="6"/>
    </row>
    <row r="242" spans="7:7" ht="15.75" customHeight="1">
      <c r="G242" s="6"/>
    </row>
    <row r="243" spans="7:7" ht="15.75" customHeight="1">
      <c r="G243" s="6"/>
    </row>
    <row r="244" spans="7:7" ht="15.75" customHeight="1">
      <c r="G244" s="6"/>
    </row>
    <row r="245" spans="7:7" ht="15.75" customHeight="1">
      <c r="G245" s="6"/>
    </row>
    <row r="246" spans="7:7" ht="15.75" customHeight="1">
      <c r="G246" s="6"/>
    </row>
    <row r="247" spans="7:7" ht="15.75" customHeight="1">
      <c r="G247" s="6"/>
    </row>
    <row r="248" spans="7:7" ht="15.75" customHeight="1">
      <c r="G248" s="6"/>
    </row>
    <row r="249" spans="7:7" ht="15.75" customHeight="1">
      <c r="G249" s="6"/>
    </row>
    <row r="250" spans="7:7" ht="15.75" customHeight="1">
      <c r="G250" s="6"/>
    </row>
    <row r="251" spans="7:7" ht="15.75" customHeight="1">
      <c r="G251" s="6"/>
    </row>
    <row r="252" spans="7:7" ht="15.75" customHeight="1">
      <c r="G252" s="6"/>
    </row>
    <row r="253" spans="7:7" ht="15.75" customHeight="1">
      <c r="G253" s="6"/>
    </row>
    <row r="254" spans="7:7" ht="15.75" customHeight="1">
      <c r="G254" s="6"/>
    </row>
    <row r="255" spans="7:7" ht="15.75" customHeight="1">
      <c r="G255" s="6"/>
    </row>
    <row r="256" spans="7:7" ht="15.75" customHeight="1">
      <c r="G256" s="6"/>
    </row>
    <row r="257" spans="7:7" ht="15.75" customHeight="1">
      <c r="G257" s="6"/>
    </row>
    <row r="258" spans="7:7" ht="15.75" customHeight="1">
      <c r="G258" s="6"/>
    </row>
    <row r="259" spans="7:7" ht="15.75" customHeight="1">
      <c r="G259" s="6"/>
    </row>
    <row r="260" spans="7:7" ht="15.75" customHeight="1">
      <c r="G260" s="6"/>
    </row>
    <row r="261" spans="7:7" ht="15.75" customHeight="1">
      <c r="G261" s="6"/>
    </row>
    <row r="262" spans="7:7" ht="15.75" customHeight="1">
      <c r="G262" s="6"/>
    </row>
    <row r="263" spans="7:7" ht="15.75" customHeight="1"/>
    <row r="264" spans="7:7" ht="15.75" customHeight="1"/>
    <row r="265" spans="7:7" ht="15.75" customHeight="1"/>
    <row r="266" spans="7:7" ht="15.75" customHeight="1"/>
    <row r="267" spans="7:7" ht="15.75" customHeight="1"/>
    <row r="268" spans="7:7" ht="15.75" customHeight="1"/>
    <row r="269" spans="7:7" ht="15.75" customHeight="1"/>
    <row r="270" spans="7:7" ht="15.75" customHeight="1"/>
    <row r="271" spans="7:7" ht="15.75" customHeight="1"/>
    <row r="272" spans="7:7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hyperlinks>
    <hyperlink ref="H7" r:id="rId1" xr:uid="{00000000-0004-0000-0000-000000000000}"/>
    <hyperlink ref="H8" r:id="rId2" xr:uid="{00000000-0004-0000-0000-000001000000}"/>
    <hyperlink ref="H10" r:id="rId3" xr:uid="{00000000-0004-0000-0000-000002000000}"/>
    <hyperlink ref="H11" r:id="rId4" xr:uid="{00000000-0004-0000-0000-000003000000}"/>
    <hyperlink ref="H14" r:id="rId5" xr:uid="{00000000-0004-0000-0000-000004000000}"/>
    <hyperlink ref="H18" r:id="rId6" xr:uid="{00000000-0004-0000-0000-000005000000}"/>
    <hyperlink ref="H19" r:id="rId7" xr:uid="{00000000-0004-0000-0000-000006000000}"/>
    <hyperlink ref="H20" r:id="rId8" xr:uid="{00000000-0004-0000-0000-000007000000}"/>
    <hyperlink ref="H27" r:id="rId9" location="?year1=2020&amp;year2=2023&amp;company=Name" xr:uid="{00000000-0004-0000-0000-000008000000}"/>
    <hyperlink ref="H28" r:id="rId10" xr:uid="{00000000-0004-0000-0000-000009000000}"/>
    <hyperlink ref="H31" r:id="rId11" xr:uid="{00000000-0004-0000-0000-00000A000000}"/>
    <hyperlink ref="H34" r:id="rId12" xr:uid="{00000000-0004-0000-0000-00000B000000}"/>
    <hyperlink ref="H35" r:id="rId13" xr:uid="{00000000-0004-0000-0000-00000C000000}"/>
    <hyperlink ref="H36" r:id="rId14" xr:uid="{00000000-0004-0000-0000-00000D000000}"/>
    <hyperlink ref="H40" r:id="rId15" xr:uid="{00000000-0004-0000-0000-00000E000000}"/>
    <hyperlink ref="H42" r:id="rId16" xr:uid="{00000000-0004-0000-0000-00000F000000}"/>
    <hyperlink ref="H48" r:id="rId17" xr:uid="{00000000-0004-0000-0000-000010000000}"/>
    <hyperlink ref="H49" r:id="rId18" xr:uid="{00000000-0004-0000-0000-000011000000}"/>
    <hyperlink ref="H50" r:id="rId19" xr:uid="{00000000-0004-0000-0000-000012000000}"/>
    <hyperlink ref="H51" r:id="rId20" xr:uid="{00000000-0004-0000-0000-000013000000}"/>
    <hyperlink ref="H56" r:id="rId21" xr:uid="{00000000-0004-0000-0000-000014000000}"/>
    <hyperlink ref="H57" r:id="rId22" xr:uid="{00000000-0004-0000-0000-000015000000}"/>
    <hyperlink ref="H60" r:id="rId23" xr:uid="{00000000-0004-0000-0000-000016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000"/>
  <sheetViews>
    <sheetView tabSelected="1" topLeftCell="J21" workbookViewId="0">
      <selection activeCell="AB50" sqref="AB50"/>
    </sheetView>
  </sheetViews>
  <sheetFormatPr baseColWidth="10" defaultColWidth="11.1640625" defaultRowHeight="15" customHeight="1"/>
  <cols>
    <col min="1" max="1" width="10.5" customWidth="1"/>
    <col min="2" max="2" width="23" customWidth="1"/>
    <col min="3" max="3" width="21.5" customWidth="1"/>
    <col min="4" max="15" width="10.5" customWidth="1"/>
    <col min="16" max="16" width="27.33203125" customWidth="1"/>
    <col min="17" max="29" width="10.5" customWidth="1"/>
  </cols>
  <sheetData>
    <row r="1" spans="1:29" ht="15.75" customHeight="1">
      <c r="A1" s="1" t="s">
        <v>94</v>
      </c>
    </row>
    <row r="2" spans="1:29" ht="15.75" customHeight="1">
      <c r="H2" s="2" t="s">
        <v>95</v>
      </c>
      <c r="O2" s="2" t="s">
        <v>96</v>
      </c>
      <c r="X2" s="2" t="s">
        <v>97</v>
      </c>
    </row>
    <row r="3" spans="1:29" ht="15.75" customHeight="1">
      <c r="A3" s="2" t="s">
        <v>67</v>
      </c>
      <c r="B3" s="2">
        <v>190</v>
      </c>
      <c r="D3" s="2" t="s">
        <v>28</v>
      </c>
      <c r="E3" s="2">
        <v>33.03</v>
      </c>
      <c r="H3" s="2" t="s">
        <v>67</v>
      </c>
      <c r="I3" s="2">
        <v>190</v>
      </c>
      <c r="K3" s="2" t="s">
        <v>28</v>
      </c>
      <c r="L3" s="2">
        <v>53.72</v>
      </c>
      <c r="O3" s="2" t="s">
        <v>67</v>
      </c>
      <c r="P3" s="2">
        <v>190</v>
      </c>
      <c r="R3" s="2" t="s">
        <v>28</v>
      </c>
      <c r="S3" s="2">
        <v>118.26</v>
      </c>
      <c r="U3" s="2" t="s">
        <v>5</v>
      </c>
      <c r="AA3" s="3">
        <v>2023</v>
      </c>
      <c r="AB3" s="3" t="s">
        <v>98</v>
      </c>
      <c r="AC3" s="3" t="s">
        <v>98</v>
      </c>
    </row>
    <row r="4" spans="1:29" ht="15.75" customHeight="1">
      <c r="X4" s="2" t="s">
        <v>99</v>
      </c>
      <c r="Y4" s="2" t="s">
        <v>100</v>
      </c>
      <c r="Z4" s="2" t="s">
        <v>101</v>
      </c>
      <c r="AA4" s="3" t="s">
        <v>102</v>
      </c>
      <c r="AB4" s="2" t="s">
        <v>103</v>
      </c>
      <c r="AC4" s="3" t="s">
        <v>104</v>
      </c>
    </row>
    <row r="5" spans="1:29" ht="15.75" customHeight="1">
      <c r="A5" s="23" t="s">
        <v>5</v>
      </c>
      <c r="B5" s="2" t="s">
        <v>41</v>
      </c>
      <c r="C5" s="2">
        <v>2023</v>
      </c>
      <c r="H5" s="2" t="s">
        <v>5</v>
      </c>
      <c r="I5" s="2" t="s">
        <v>41</v>
      </c>
      <c r="J5" s="2">
        <v>2023</v>
      </c>
      <c r="O5" s="2" t="s">
        <v>5</v>
      </c>
      <c r="P5" s="2" t="s">
        <v>41</v>
      </c>
      <c r="Q5" s="2">
        <v>2023</v>
      </c>
    </row>
    <row r="6" spans="1:29" ht="15.75" customHeight="1">
      <c r="B6" s="2" t="s">
        <v>8</v>
      </c>
      <c r="C6" s="2" t="s">
        <v>9</v>
      </c>
      <c r="E6" s="2">
        <v>0.34039999999999998</v>
      </c>
      <c r="I6" s="2" t="s">
        <v>8</v>
      </c>
      <c r="J6" s="2" t="s">
        <v>9</v>
      </c>
      <c r="L6" s="2">
        <v>0.34039999999999998</v>
      </c>
      <c r="P6" s="2" t="s">
        <v>8</v>
      </c>
      <c r="Q6" s="2" t="s">
        <v>9</v>
      </c>
      <c r="S6" s="2">
        <v>0.34039999999999998</v>
      </c>
      <c r="V6" s="2" t="s">
        <v>105</v>
      </c>
      <c r="X6" s="18">
        <f>E7+E14</f>
        <v>7.4121228591368896E-2</v>
      </c>
      <c r="Y6" s="18">
        <f>E7+E14+E22</f>
        <v>0.14168629632716889</v>
      </c>
      <c r="Z6" s="18">
        <f>S6</f>
        <v>0.34039999999999998</v>
      </c>
      <c r="AA6" s="18">
        <f>E14</f>
        <v>1.34434788642E-2</v>
      </c>
      <c r="AB6" s="18">
        <f>L14</f>
        <v>2.1864477280799998E-2</v>
      </c>
      <c r="AC6" s="18">
        <f>S14</f>
        <v>4.8132782636399994E-2</v>
      </c>
    </row>
    <row r="7" spans="1:29" ht="15.75" customHeight="1">
      <c r="B7" s="2" t="s">
        <v>11</v>
      </c>
      <c r="E7" s="2">
        <v>6.0677749727168898E-2</v>
      </c>
      <c r="I7" s="2" t="s">
        <v>11</v>
      </c>
      <c r="L7" s="2">
        <v>6.0677749727168898E-2</v>
      </c>
      <c r="P7" s="2" t="s">
        <v>11</v>
      </c>
      <c r="S7" s="2">
        <v>6.0677749727168898E-2</v>
      </c>
      <c r="X7" s="18"/>
      <c r="Y7" s="18"/>
      <c r="Z7" s="18"/>
      <c r="AA7" s="18"/>
      <c r="AB7" s="18"/>
      <c r="AC7" s="18"/>
    </row>
    <row r="8" spans="1:29" ht="15.75" customHeight="1">
      <c r="X8" s="18"/>
      <c r="Y8" s="18"/>
      <c r="Z8" s="18"/>
      <c r="AA8" s="18"/>
      <c r="AB8" s="18"/>
      <c r="AC8" s="18"/>
    </row>
    <row r="9" spans="1:29" ht="15.75" customHeight="1">
      <c r="B9" s="2" t="s">
        <v>106</v>
      </c>
      <c r="C9" s="2" t="s">
        <v>14</v>
      </c>
      <c r="E9" s="2">
        <v>0.40699999999999997</v>
      </c>
      <c r="F9" s="2">
        <v>0.40699999999999997</v>
      </c>
      <c r="I9" s="2" t="s">
        <v>106</v>
      </c>
      <c r="J9" s="2" t="s">
        <v>14</v>
      </c>
      <c r="L9" s="2">
        <v>0.40699999999999997</v>
      </c>
      <c r="P9" s="2" t="s">
        <v>106</v>
      </c>
      <c r="Q9" s="2" t="s">
        <v>14</v>
      </c>
      <c r="S9" s="2">
        <v>0.40699999999999997</v>
      </c>
      <c r="V9" s="3" t="s">
        <v>107</v>
      </c>
      <c r="X9" s="18">
        <f>L7+(0.5)*L14</f>
        <v>7.1609988367568891E-2</v>
      </c>
      <c r="Y9" s="18">
        <f>E7+(0.5*E14)+(0.5*E22)</f>
        <v>0.10118202302716889</v>
      </c>
      <c r="Z9" s="18">
        <f>E6-(AA6-AA9)</f>
        <v>0.33367826056789995</v>
      </c>
      <c r="AA9" s="18">
        <f t="shared" ref="AA9:AC9" si="0">0.5*AA6</f>
        <v>6.7217394320999999E-3</v>
      </c>
      <c r="AB9" s="18">
        <f t="shared" si="0"/>
        <v>1.0932238640399999E-2</v>
      </c>
      <c r="AC9" s="18">
        <f t="shared" si="0"/>
        <v>2.4066391318199997E-2</v>
      </c>
    </row>
    <row r="10" spans="1:29" ht="15.75" customHeight="1">
      <c r="B10" s="2" t="s">
        <v>108</v>
      </c>
      <c r="C10" s="22"/>
      <c r="E10" s="3">
        <v>2.0000000000000002E-5</v>
      </c>
      <c r="I10" s="2" t="s">
        <v>108</v>
      </c>
      <c r="L10" s="3">
        <v>2.0000000000000002E-5</v>
      </c>
      <c r="P10" s="2" t="s">
        <v>108</v>
      </c>
      <c r="S10" s="2">
        <f>E10</f>
        <v>2.0000000000000002E-5</v>
      </c>
    </row>
    <row r="11" spans="1:29" ht="15.75" customHeight="1">
      <c r="B11" s="2" t="s">
        <v>109</v>
      </c>
      <c r="E11" s="2">
        <f>(1+E10)*E9</f>
        <v>0.40700813999999996</v>
      </c>
      <c r="I11" s="2" t="s">
        <v>109</v>
      </c>
      <c r="L11" s="2">
        <f>(1+L10)*L9</f>
        <v>0.40700813999999996</v>
      </c>
      <c r="P11" s="2" t="s">
        <v>109</v>
      </c>
      <c r="S11" s="2">
        <f>(1+S10)*S9</f>
        <v>0.40700813999999996</v>
      </c>
    </row>
    <row r="12" spans="1:29" ht="15.75" customHeight="1"/>
    <row r="13" spans="1:29" ht="15.75" customHeight="1">
      <c r="B13" s="2" t="s">
        <v>28</v>
      </c>
      <c r="C13" s="2" t="s">
        <v>29</v>
      </c>
      <c r="E13" s="2">
        <v>33.03</v>
      </c>
      <c r="I13" s="2" t="s">
        <v>28</v>
      </c>
      <c r="J13" s="2" t="s">
        <v>29</v>
      </c>
      <c r="L13" s="2">
        <f>L3</f>
        <v>53.72</v>
      </c>
      <c r="P13" s="2" t="s">
        <v>28</v>
      </c>
      <c r="Q13" s="2" t="s">
        <v>29</v>
      </c>
      <c r="S13" s="2">
        <v>118.26</v>
      </c>
    </row>
    <row r="14" spans="1:29" ht="15.75" customHeight="1">
      <c r="B14" s="2" t="s">
        <v>61</v>
      </c>
      <c r="C14" s="2" t="s">
        <v>9</v>
      </c>
      <c r="E14" s="2">
        <f>(E13*E11)/1000</f>
        <v>1.34434788642E-2</v>
      </c>
      <c r="I14" s="2" t="s">
        <v>61</v>
      </c>
      <c r="J14" s="2" t="s">
        <v>9</v>
      </c>
      <c r="L14" s="2">
        <f>L13*L11/1000</f>
        <v>2.1864477280799998E-2</v>
      </c>
      <c r="P14" s="2" t="s">
        <v>61</v>
      </c>
      <c r="Q14" s="2" t="s">
        <v>9</v>
      </c>
      <c r="S14" s="2">
        <f>S13*S11/1000</f>
        <v>4.8132782636399994E-2</v>
      </c>
    </row>
    <row r="15" spans="1:29" ht="15.75" customHeight="1"/>
    <row r="16" spans="1:29" ht="15.75" customHeight="1"/>
    <row r="17" spans="1:29" ht="15.75" customHeight="1">
      <c r="A17" s="3" t="s">
        <v>65</v>
      </c>
      <c r="B17" s="2" t="s">
        <v>34</v>
      </c>
      <c r="E17" s="2">
        <v>1.7869999999999999</v>
      </c>
      <c r="H17" s="2"/>
      <c r="I17" s="2"/>
      <c r="L17" s="2"/>
      <c r="O17" s="2"/>
      <c r="P17" s="2"/>
      <c r="S17" s="2"/>
    </row>
    <row r="18" spans="1:29" ht="15.75" customHeight="1">
      <c r="B18" s="2" t="s">
        <v>35</v>
      </c>
      <c r="E18" s="2">
        <v>1.89</v>
      </c>
      <c r="I18" s="2"/>
      <c r="L18" s="2"/>
      <c r="P18" s="2"/>
      <c r="S18" s="2"/>
    </row>
    <row r="19" spans="1:29" ht="15.75" customHeight="1">
      <c r="B19" s="2" t="s">
        <v>67</v>
      </c>
      <c r="E19" s="2">
        <f>B3</f>
        <v>190</v>
      </c>
      <c r="I19" s="2"/>
      <c r="L19" s="2"/>
      <c r="P19" s="2"/>
      <c r="S19" s="2"/>
    </row>
    <row r="20" spans="1:29" ht="15.75" customHeight="1">
      <c r="B20" s="2" t="s">
        <v>69</v>
      </c>
      <c r="E20" s="2">
        <f>(E19-E13)*E11</f>
        <v>63.888067735799993</v>
      </c>
      <c r="I20" s="2"/>
      <c r="L20" s="2"/>
      <c r="P20" s="2"/>
      <c r="S20" s="2"/>
    </row>
    <row r="21" spans="1:29" ht="15.75" customHeight="1"/>
    <row r="22" spans="1:29" ht="15.75" customHeight="1">
      <c r="B22" s="2" t="s">
        <v>65</v>
      </c>
      <c r="E22" s="2">
        <f>(E17+E18+E20)/1000</f>
        <v>6.7565067735799997E-2</v>
      </c>
      <c r="I22" s="2"/>
      <c r="L22" s="2"/>
      <c r="P22" s="2"/>
      <c r="S22" s="2"/>
    </row>
    <row r="23" spans="1:29" ht="15.75" customHeight="1"/>
    <row r="24" spans="1:29" ht="15.75" customHeight="1"/>
    <row r="25" spans="1:29" ht="15.75" customHeight="1">
      <c r="A25" s="23" t="s">
        <v>40</v>
      </c>
      <c r="B25" s="3" t="s">
        <v>41</v>
      </c>
      <c r="C25" s="2">
        <v>2023</v>
      </c>
      <c r="H25" s="2" t="s">
        <v>40</v>
      </c>
      <c r="I25" s="2" t="s">
        <v>110</v>
      </c>
      <c r="J25" s="2">
        <v>2023</v>
      </c>
      <c r="O25" s="2" t="s">
        <v>40</v>
      </c>
      <c r="P25" s="2" t="s">
        <v>110</v>
      </c>
      <c r="Q25" s="2">
        <v>2023</v>
      </c>
    </row>
    <row r="26" spans="1:29" ht="15.75" customHeight="1">
      <c r="B26" s="2" t="s">
        <v>43</v>
      </c>
      <c r="C26" s="2" t="s">
        <v>111</v>
      </c>
      <c r="E26" s="2">
        <v>2.1</v>
      </c>
      <c r="I26" s="2" t="s">
        <v>43</v>
      </c>
      <c r="J26" s="2" t="s">
        <v>111</v>
      </c>
      <c r="L26" s="2">
        <v>2.1</v>
      </c>
      <c r="P26" s="2" t="s">
        <v>43</v>
      </c>
      <c r="Q26" s="2" t="s">
        <v>111</v>
      </c>
      <c r="S26" s="2">
        <v>2.1</v>
      </c>
      <c r="U26" s="23" t="s">
        <v>112</v>
      </c>
      <c r="AA26" s="3">
        <v>2023</v>
      </c>
      <c r="AB26" s="3" t="s">
        <v>98</v>
      </c>
      <c r="AC26" s="3" t="s">
        <v>98</v>
      </c>
    </row>
    <row r="27" spans="1:29" ht="15.75" customHeight="1">
      <c r="B27" s="2" t="s">
        <v>46</v>
      </c>
      <c r="C27" s="2" t="s">
        <v>47</v>
      </c>
      <c r="E27" s="2">
        <v>6.2389999999999999</v>
      </c>
      <c r="H27" s="2" t="s">
        <v>42</v>
      </c>
      <c r="I27" s="2" t="s">
        <v>46</v>
      </c>
      <c r="J27" s="2" t="s">
        <v>47</v>
      </c>
      <c r="L27" s="2">
        <v>6.2389999999999999</v>
      </c>
      <c r="O27" s="2" t="s">
        <v>42</v>
      </c>
      <c r="P27" s="2" t="s">
        <v>46</v>
      </c>
      <c r="Q27" s="2" t="s">
        <v>47</v>
      </c>
      <c r="S27" s="2">
        <v>6.2389999999999999</v>
      </c>
      <c r="X27" s="2" t="s">
        <v>99</v>
      </c>
      <c r="Y27" s="2" t="s">
        <v>100</v>
      </c>
      <c r="Z27" s="2" t="s">
        <v>101</v>
      </c>
      <c r="AA27" s="3" t="s">
        <v>102</v>
      </c>
      <c r="AB27" s="2" t="s">
        <v>103</v>
      </c>
      <c r="AC27" s="3" t="s">
        <v>104</v>
      </c>
    </row>
    <row r="28" spans="1:29" ht="15.75" customHeight="1">
      <c r="B28" s="2" t="s">
        <v>49</v>
      </c>
      <c r="E28" s="2">
        <v>0.1</v>
      </c>
      <c r="I28" s="2" t="s">
        <v>49</v>
      </c>
      <c r="L28" s="2">
        <v>0.1</v>
      </c>
      <c r="P28" s="2" t="s">
        <v>49</v>
      </c>
      <c r="S28" s="2">
        <v>0.1</v>
      </c>
    </row>
    <row r="29" spans="1:29" ht="15.75" customHeight="1">
      <c r="C29" s="2" t="s">
        <v>44</v>
      </c>
      <c r="E29" s="2">
        <f>E28*E27</f>
        <v>0.62390000000000001</v>
      </c>
      <c r="J29" s="2" t="s">
        <v>44</v>
      </c>
      <c r="L29" s="2">
        <f>L28*L27</f>
        <v>0.62390000000000001</v>
      </c>
      <c r="Q29" s="2" t="s">
        <v>44</v>
      </c>
      <c r="S29" s="2">
        <f>S28*S27</f>
        <v>0.62390000000000001</v>
      </c>
      <c r="X29" s="2">
        <f>E30+E36</f>
        <v>0.80025264614144054</v>
      </c>
      <c r="Y29" s="33">
        <f>E30+E36+E39+E41</f>
        <v>2.5665824361414407</v>
      </c>
      <c r="Z29" s="2">
        <f>E26</f>
        <v>2.1</v>
      </c>
      <c r="AA29" s="2">
        <f>E36</f>
        <v>0.17529021</v>
      </c>
      <c r="AB29" s="2">
        <f>L36</f>
        <v>0.28509203999999999</v>
      </c>
      <c r="AC29" s="2">
        <f>S36</f>
        <v>0.62760582000000009</v>
      </c>
    </row>
    <row r="30" spans="1:29" ht="15.75" customHeight="1">
      <c r="B30" s="2" t="s">
        <v>54</v>
      </c>
      <c r="E30" s="2">
        <f>'retail price decomposition'!F32</f>
        <v>0.62496243614144054</v>
      </c>
      <c r="I30" s="2" t="s">
        <v>54</v>
      </c>
      <c r="L30" s="2">
        <f>E30</f>
        <v>0.62496243614144054</v>
      </c>
      <c r="P30" s="2" t="s">
        <v>54</v>
      </c>
      <c r="S30" s="2">
        <f>E30</f>
        <v>0.62496243614144054</v>
      </c>
    </row>
    <row r="31" spans="1:29" ht="15.75" customHeight="1"/>
    <row r="32" spans="1:29" ht="15.75" customHeight="1">
      <c r="B32" s="2" t="s">
        <v>56</v>
      </c>
      <c r="E32" s="2">
        <v>5.3069999999999999E-2</v>
      </c>
      <c r="I32" s="2" t="s">
        <v>56</v>
      </c>
      <c r="L32" s="2">
        <v>5.3069999999999999E-2</v>
      </c>
      <c r="P32" s="2" t="s">
        <v>56</v>
      </c>
      <c r="S32" s="2">
        <v>5.3069999999999999E-2</v>
      </c>
    </row>
    <row r="33" spans="1:29" ht="15.75" customHeight="1">
      <c r="B33" s="2" t="s">
        <v>58</v>
      </c>
      <c r="C33" s="2" t="s">
        <v>59</v>
      </c>
      <c r="E33" s="2">
        <v>9.2979999999999993E-2</v>
      </c>
      <c r="I33" s="2" t="s">
        <v>58</v>
      </c>
      <c r="J33" s="2" t="s">
        <v>59</v>
      </c>
      <c r="L33" s="2">
        <v>9.2979999999999993E-2</v>
      </c>
      <c r="P33" s="2" t="s">
        <v>58</v>
      </c>
      <c r="Q33" s="2" t="s">
        <v>59</v>
      </c>
      <c r="S33" s="2">
        <v>9.2979999999999993E-2</v>
      </c>
    </row>
    <row r="34" spans="1:29" ht="15.75" customHeight="1">
      <c r="B34" s="2" t="s">
        <v>28</v>
      </c>
      <c r="C34" s="2" t="s">
        <v>29</v>
      </c>
      <c r="E34" s="2">
        <v>33.03</v>
      </c>
      <c r="I34" s="2" t="s">
        <v>28</v>
      </c>
      <c r="J34" s="2" t="s">
        <v>29</v>
      </c>
      <c r="L34" s="2">
        <f>L3</f>
        <v>53.72</v>
      </c>
      <c r="P34" s="2" t="s">
        <v>28</v>
      </c>
      <c r="Q34" s="2" t="s">
        <v>29</v>
      </c>
      <c r="S34" s="2">
        <f>S3</f>
        <v>118.26</v>
      </c>
    </row>
    <row r="35" spans="1:29" ht="15.75" customHeight="1">
      <c r="B35" s="2" t="s">
        <v>61</v>
      </c>
      <c r="C35" s="2" t="s">
        <v>47</v>
      </c>
      <c r="E35" s="2">
        <f>E34*E32</f>
        <v>1.7529021</v>
      </c>
      <c r="I35" s="2" t="s">
        <v>61</v>
      </c>
      <c r="J35" s="2" t="s">
        <v>47</v>
      </c>
      <c r="L35" s="2">
        <f>L34*L32</f>
        <v>2.8509203999999997</v>
      </c>
      <c r="P35" s="2" t="s">
        <v>61</v>
      </c>
      <c r="Q35" s="2" t="s">
        <v>47</v>
      </c>
      <c r="S35" s="2">
        <f>S34*S32</f>
        <v>6.2760582000000005</v>
      </c>
    </row>
    <row r="36" spans="1:29" ht="15.75" customHeight="1">
      <c r="B36" s="2" t="s">
        <v>63</v>
      </c>
      <c r="C36" s="2" t="s">
        <v>44</v>
      </c>
      <c r="E36" s="2">
        <f>0.1*E35</f>
        <v>0.17529021</v>
      </c>
      <c r="I36" s="2" t="s">
        <v>63</v>
      </c>
      <c r="J36" s="2" t="s">
        <v>44</v>
      </c>
      <c r="L36" s="2">
        <f>0.1*L35</f>
        <v>0.28509203999999999</v>
      </c>
      <c r="P36" s="2" t="s">
        <v>63</v>
      </c>
      <c r="Q36" s="2" t="s">
        <v>44</v>
      </c>
      <c r="S36" s="2">
        <f>0.1*S35</f>
        <v>0.62760582000000009</v>
      </c>
    </row>
    <row r="37" spans="1:29" ht="15.75" customHeight="1"/>
    <row r="38" spans="1:29" ht="15.75" customHeight="1">
      <c r="A38" s="2" t="s">
        <v>65</v>
      </c>
      <c r="B38" s="2" t="s">
        <v>65</v>
      </c>
      <c r="C38" s="2" t="s">
        <v>66</v>
      </c>
      <c r="D38" s="2" t="s">
        <v>47</v>
      </c>
      <c r="E38" s="2">
        <v>1.75</v>
      </c>
      <c r="G38" s="2"/>
      <c r="H38" s="2"/>
      <c r="I38" s="2"/>
      <c r="K38" s="2"/>
      <c r="N38" s="2"/>
      <c r="O38" s="2"/>
      <c r="P38" s="2"/>
      <c r="R38" s="2"/>
    </row>
    <row r="39" spans="1:29" ht="15.75" customHeight="1">
      <c r="D39" s="2" t="s">
        <v>44</v>
      </c>
      <c r="E39" s="2">
        <f>E38/10</f>
        <v>0.17499999999999999</v>
      </c>
      <c r="I39" s="2"/>
      <c r="K39" s="2"/>
      <c r="P39" s="2"/>
      <c r="R39" s="2"/>
    </row>
    <row r="40" spans="1:29" ht="15.75" customHeight="1">
      <c r="C40" s="2" t="s">
        <v>116</v>
      </c>
      <c r="D40" s="2" t="s">
        <v>29</v>
      </c>
      <c r="E40" s="2">
        <f>B3-E3</f>
        <v>156.97</v>
      </c>
      <c r="H40" s="2"/>
      <c r="K40" s="2"/>
      <c r="O40" s="2"/>
      <c r="R40" s="2"/>
    </row>
    <row r="41" spans="1:29" ht="15.75" customHeight="1">
      <c r="C41" s="2" t="s">
        <v>69</v>
      </c>
      <c r="D41" s="2" t="s">
        <v>44</v>
      </c>
      <c r="E41" s="31">
        <f>(E40*E32*0.1)+((E33-E32)*B3*0.1)</f>
        <v>1.5913297899999999</v>
      </c>
      <c r="H41" s="2"/>
      <c r="K41" s="2"/>
      <c r="O41" s="2"/>
      <c r="R41" s="2"/>
    </row>
    <row r="42" spans="1:29" ht="15.75" customHeight="1">
      <c r="C42" s="2" t="s">
        <v>65</v>
      </c>
      <c r="D42" s="2" t="s">
        <v>44</v>
      </c>
      <c r="E42" s="33"/>
      <c r="H42" s="2"/>
      <c r="I42" s="2"/>
      <c r="K42" s="2"/>
      <c r="O42" s="2"/>
      <c r="P42" s="2"/>
      <c r="R42" s="2"/>
    </row>
    <row r="43" spans="1:29" ht="15.75" customHeight="1"/>
    <row r="44" spans="1:29" ht="15.75" customHeight="1"/>
    <row r="45" spans="1:29" ht="15.75" customHeight="1">
      <c r="A45" s="23" t="s">
        <v>70</v>
      </c>
    </row>
    <row r="46" spans="1:29" ht="15.75" customHeight="1">
      <c r="B46" s="2" t="s">
        <v>71</v>
      </c>
      <c r="C46" s="2" t="s">
        <v>72</v>
      </c>
      <c r="E46" s="2">
        <v>5.08</v>
      </c>
      <c r="I46" s="2" t="s">
        <v>71</v>
      </c>
      <c r="J46" s="2" t="s">
        <v>72</v>
      </c>
      <c r="L46" s="2">
        <v>5.08</v>
      </c>
      <c r="P46" s="2" t="s">
        <v>71</v>
      </c>
      <c r="Q46" s="2" t="s">
        <v>72</v>
      </c>
      <c r="S46" s="2">
        <v>5.08</v>
      </c>
      <c r="U46" s="23" t="s">
        <v>70</v>
      </c>
      <c r="AA46" s="3">
        <v>2023</v>
      </c>
      <c r="AB46" s="3" t="s">
        <v>98</v>
      </c>
      <c r="AC46" s="3" t="s">
        <v>98</v>
      </c>
    </row>
    <row r="47" spans="1:29" ht="15.75" customHeight="1">
      <c r="B47" s="2" t="s">
        <v>77</v>
      </c>
      <c r="C47" s="2" t="s">
        <v>72</v>
      </c>
      <c r="E47" s="2">
        <v>3.3443560202916469</v>
      </c>
      <c r="I47" s="2" t="s">
        <v>77</v>
      </c>
      <c r="J47" s="2" t="s">
        <v>72</v>
      </c>
      <c r="L47" s="2">
        <v>3.3443560202916469</v>
      </c>
      <c r="P47" s="2" t="s">
        <v>77</v>
      </c>
      <c r="Q47" s="2" t="s">
        <v>72</v>
      </c>
      <c r="S47" s="2">
        <v>3.3443560202916469</v>
      </c>
      <c r="X47" s="2" t="s">
        <v>99</v>
      </c>
      <c r="Y47" s="2" t="s">
        <v>100</v>
      </c>
      <c r="Z47" s="2" t="s">
        <v>101</v>
      </c>
      <c r="AA47" s="3" t="s">
        <v>102</v>
      </c>
      <c r="AB47" s="2" t="s">
        <v>103</v>
      </c>
      <c r="AC47" s="3" t="s">
        <v>104</v>
      </c>
    </row>
    <row r="48" spans="1:29" ht="15.75" customHeight="1">
      <c r="B48" s="2" t="s">
        <v>81</v>
      </c>
      <c r="C48" s="2" t="s">
        <v>72</v>
      </c>
      <c r="E48" s="2">
        <v>0.12695546379897255</v>
      </c>
      <c r="I48" s="2" t="s">
        <v>81</v>
      </c>
      <c r="J48" s="2" t="s">
        <v>72</v>
      </c>
      <c r="L48" s="2">
        <v>0.12695546379897255</v>
      </c>
      <c r="P48" s="2" t="s">
        <v>81</v>
      </c>
      <c r="Q48" s="2" t="s">
        <v>72</v>
      </c>
      <c r="S48" s="2">
        <v>0.12695546379897255</v>
      </c>
    </row>
    <row r="49" spans="1:29" ht="15.75" customHeight="1">
      <c r="B49" s="2" t="s">
        <v>84</v>
      </c>
      <c r="C49" s="2" t="s">
        <v>72</v>
      </c>
      <c r="E49" s="2">
        <v>0.12689778705437976</v>
      </c>
      <c r="I49" s="2" t="s">
        <v>84</v>
      </c>
      <c r="J49" s="2" t="s">
        <v>72</v>
      </c>
      <c r="L49" s="2">
        <v>0.12689778705437976</v>
      </c>
      <c r="P49" s="2" t="s">
        <v>84</v>
      </c>
      <c r="Q49" s="2" t="s">
        <v>72</v>
      </c>
      <c r="S49" s="2">
        <v>0.12689778705437976</v>
      </c>
      <c r="X49" s="2">
        <f>E50</f>
        <v>3.5982092711449996</v>
      </c>
      <c r="Y49" s="33">
        <f>'retail price decomposition'!U50</f>
        <v>6.0772062111449996</v>
      </c>
      <c r="Z49" s="2">
        <f>E46</f>
        <v>5.08</v>
      </c>
      <c r="AA49" s="2">
        <f>E56</f>
        <v>0.26100306000000001</v>
      </c>
      <c r="AB49" s="2">
        <f>L57</f>
        <v>0.42449543999999995</v>
      </c>
      <c r="AC49" s="2">
        <f>S57</f>
        <v>0.93449051999999999</v>
      </c>
    </row>
    <row r="50" spans="1:29" ht="15.75" customHeight="1">
      <c r="B50" s="2" t="s">
        <v>86</v>
      </c>
      <c r="C50" s="2" t="s">
        <v>72</v>
      </c>
      <c r="E50" s="2">
        <v>3.5982092711449996</v>
      </c>
      <c r="I50" s="2" t="s">
        <v>86</v>
      </c>
      <c r="J50" s="2" t="s">
        <v>72</v>
      </c>
      <c r="L50" s="2">
        <v>3.5982092711449996</v>
      </c>
      <c r="P50" s="2" t="s">
        <v>86</v>
      </c>
      <c r="Q50" s="2" t="s">
        <v>72</v>
      </c>
      <c r="S50" s="2">
        <v>3.5982092711449996</v>
      </c>
    </row>
    <row r="51" spans="1:29" ht="15.75" customHeight="1">
      <c r="B51" s="2" t="s">
        <v>87</v>
      </c>
      <c r="C51" s="2" t="s">
        <v>72</v>
      </c>
      <c r="E51" s="2">
        <v>0.09</v>
      </c>
      <c r="I51" s="2" t="s">
        <v>87</v>
      </c>
      <c r="J51" s="2" t="s">
        <v>72</v>
      </c>
      <c r="L51" s="2">
        <v>0.09</v>
      </c>
      <c r="P51" s="2" t="s">
        <v>87</v>
      </c>
      <c r="Q51" s="2" t="s">
        <v>72</v>
      </c>
      <c r="S51" s="2">
        <v>0.09</v>
      </c>
    </row>
    <row r="52" spans="1:29" ht="15.75" customHeight="1"/>
    <row r="53" spans="1:29" ht="15.75" customHeight="1"/>
    <row r="54" spans="1:29" ht="15.75" customHeight="1">
      <c r="A54" s="3" t="s">
        <v>65</v>
      </c>
      <c r="B54" s="2" t="s">
        <v>89</v>
      </c>
      <c r="E54" s="2">
        <v>7.9019999999999993E-3</v>
      </c>
      <c r="I54" s="2"/>
      <c r="L54" s="2"/>
      <c r="P54" s="2"/>
      <c r="S54" s="2"/>
    </row>
    <row r="55" spans="1:29" ht="15.75" customHeight="1">
      <c r="B55" s="2" t="s">
        <v>91</v>
      </c>
      <c r="E55" s="35">
        <v>1.04E-2</v>
      </c>
      <c r="I55" s="2" t="s">
        <v>89</v>
      </c>
      <c r="L55" s="2">
        <v>7.9019999999999993E-3</v>
      </c>
      <c r="P55" s="2" t="s">
        <v>89</v>
      </c>
      <c r="S55" s="2">
        <v>7.9019999999999993E-3</v>
      </c>
    </row>
    <row r="56" spans="1:29" ht="15.75" customHeight="1">
      <c r="B56" s="2" t="s">
        <v>61</v>
      </c>
      <c r="E56" s="2">
        <f>E54*E3</f>
        <v>0.26100306000000001</v>
      </c>
      <c r="I56" s="2" t="s">
        <v>91</v>
      </c>
      <c r="L56" s="35">
        <v>1.04E-2</v>
      </c>
      <c r="P56" s="2" t="s">
        <v>91</v>
      </c>
      <c r="S56" s="35">
        <v>1.04E-2</v>
      </c>
    </row>
    <row r="57" spans="1:29" ht="15.75" customHeight="1">
      <c r="B57" s="2" t="s">
        <v>23</v>
      </c>
      <c r="E57" s="2">
        <f>(E55*190)-E56</f>
        <v>1.71499694</v>
      </c>
      <c r="I57" s="2" t="s">
        <v>61</v>
      </c>
      <c r="L57" s="2">
        <f>L55*L3</f>
        <v>0.42449543999999995</v>
      </c>
      <c r="P57" s="2" t="s">
        <v>61</v>
      </c>
      <c r="S57" s="2">
        <f>S55*S3</f>
        <v>0.93449051999999999</v>
      </c>
    </row>
    <row r="58" spans="1:29" ht="15.75" customHeight="1">
      <c r="B58" s="2" t="s">
        <v>76</v>
      </c>
      <c r="E58" s="2">
        <v>0.76400000000000001</v>
      </c>
    </row>
    <row r="59" spans="1:29" ht="15.75" customHeight="1"/>
    <row r="60" spans="1:29" ht="15.75" customHeight="1">
      <c r="B60" s="2" t="s">
        <v>93</v>
      </c>
      <c r="E60" s="2">
        <f>E57+E58</f>
        <v>2.47899694</v>
      </c>
    </row>
    <row r="61" spans="1:29" ht="15.75" customHeight="1"/>
    <row r="62" spans="1:29" ht="15.75" customHeight="1"/>
    <row r="63" spans="1:29" ht="15.75" customHeight="1"/>
    <row r="64" spans="1:2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retail price decomposition</vt:lpstr>
      <vt:lpstr>summary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 Fowlie</dc:creator>
  <cp:lastModifiedBy>Meredith Fowlie</cp:lastModifiedBy>
  <dcterms:created xsi:type="dcterms:W3CDTF">2024-11-26T17:39:54Z</dcterms:created>
  <dcterms:modified xsi:type="dcterms:W3CDTF">2025-02-18T00:26:16Z</dcterms:modified>
</cp:coreProperties>
</file>